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alen.Eby\Dropbox\Premarital Counseling\"/>
    </mc:Choice>
  </mc:AlternateContent>
  <xr:revisionPtr revIDLastSave="0" documentId="13_ncr:1_{A4C441D2-BA64-47B9-87C6-6B76F5E1BC2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ersonal Monthly Budget" sheetId="1" r:id="rId1"/>
    <sheet name="Mortgage Calculator" sheetId="3" r:id="rId2"/>
  </sheets>
  <externalReferences>
    <externalReference r:id="rId3"/>
  </externalReferences>
  <definedNames>
    <definedName name="ActualNumberOfPayments">IFERROR(IF(LoanIsGood,IF(PaymentsPerYear=1,1,MATCH(0.01,End_Bal,-1)+1)),"")</definedName>
    <definedName name="End_Bal">[1]!PaymentSchedule[ENDING BALANCE]</definedName>
    <definedName name="ExtraPayments">'Mortgage Calculator'!$E$9</definedName>
    <definedName name="InterestRate">'Mortgage Calculator'!$E$4</definedName>
    <definedName name="LoanAmount">'Mortgage Calculator'!$E$3</definedName>
    <definedName name="LoanIsGood">('Mortgage Calculator'!$E$3*'Mortgage Calculator'!$E$4*'Mortgage Calculator'!$E$5*'Mortgage Calculator'!$E$7)&gt;0</definedName>
    <definedName name="LoanPeriod">'Mortgage Calculator'!$E$5</definedName>
    <definedName name="LoanStartDate">'Mortgage Calculator'!$E$7</definedName>
    <definedName name="PaymentsPerYear">'Mortgage Calculator'!$E$6</definedName>
    <definedName name="ScheduledNumberOfPayments">'Mortgage Calculator'!$I$4</definedName>
    <definedName name="ScheduledPayment">'Mortgage Calculator'!$I$3</definedName>
    <definedName name="TotalEarlyPayments">SUM([1]!PaymentSchedule[EXTRA PAYMENT])</definedName>
    <definedName name="TotalInterest">SUM([1]!PaymentSchedule[INTEREST])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I4" i="3"/>
  <c r="I3" i="3" s="1"/>
  <c r="B122" i="3" l="1"/>
  <c r="B18" i="3"/>
  <c r="B54" i="3"/>
  <c r="B86" i="3"/>
  <c r="B126" i="3"/>
  <c r="B222" i="3"/>
  <c r="B12" i="3"/>
  <c r="B15" i="3"/>
  <c r="B19" i="3"/>
  <c r="B23" i="3"/>
  <c r="B27" i="3"/>
  <c r="B31" i="3"/>
  <c r="B40" i="3"/>
  <c r="B48" i="3"/>
  <c r="B56" i="3"/>
  <c r="B64" i="3"/>
  <c r="B72" i="3"/>
  <c r="B80" i="3"/>
  <c r="B88" i="3"/>
  <c r="B96" i="3"/>
  <c r="B104" i="3"/>
  <c r="B112" i="3"/>
  <c r="B120" i="3"/>
  <c r="B180" i="3"/>
  <c r="B14" i="3"/>
  <c r="B30" i="3"/>
  <c r="B38" i="3"/>
  <c r="B70" i="3"/>
  <c r="B78" i="3"/>
  <c r="B94" i="3"/>
  <c r="B118" i="3"/>
  <c r="B16" i="3"/>
  <c r="B20" i="3"/>
  <c r="B24" i="3"/>
  <c r="B28" i="3"/>
  <c r="B32" i="3"/>
  <c r="B42" i="3"/>
  <c r="B50" i="3"/>
  <c r="B58" i="3"/>
  <c r="B66" i="3"/>
  <c r="B74" i="3"/>
  <c r="B82" i="3"/>
  <c r="B90" i="3"/>
  <c r="B98" i="3"/>
  <c r="B106" i="3"/>
  <c r="B114" i="3"/>
  <c r="B22" i="3"/>
  <c r="B26" i="3"/>
  <c r="B34" i="3"/>
  <c r="B46" i="3"/>
  <c r="B62" i="3"/>
  <c r="B102" i="3"/>
  <c r="B110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7" i="3"/>
  <c r="B345" i="3"/>
  <c r="B343" i="3"/>
  <c r="B370" i="3"/>
  <c r="B362" i="3"/>
  <c r="B354" i="3"/>
  <c r="B346" i="3"/>
  <c r="B338" i="3"/>
  <c r="B336" i="3"/>
  <c r="B334" i="3"/>
  <c r="B332" i="3"/>
  <c r="B330" i="3"/>
  <c r="B328" i="3"/>
  <c r="B326" i="3"/>
  <c r="B324" i="3"/>
  <c r="B322" i="3"/>
  <c r="B320" i="3"/>
  <c r="B318" i="3"/>
  <c r="B368" i="3"/>
  <c r="B360" i="3"/>
  <c r="B352" i="3"/>
  <c r="B344" i="3"/>
  <c r="B341" i="3"/>
  <c r="B366" i="3"/>
  <c r="B358" i="3"/>
  <c r="B350" i="3"/>
  <c r="B342" i="3"/>
  <c r="B340" i="3"/>
  <c r="B337" i="3"/>
  <c r="B335" i="3"/>
  <c r="B333" i="3"/>
  <c r="B331" i="3"/>
  <c r="B329" i="3"/>
  <c r="B327" i="3"/>
  <c r="B325" i="3"/>
  <c r="B323" i="3"/>
  <c r="B321" i="3"/>
  <c r="B319" i="3"/>
  <c r="B317" i="3"/>
  <c r="B315" i="3"/>
  <c r="B364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356" i="3"/>
  <c r="B339" i="3"/>
  <c r="B314" i="3"/>
  <c r="B348" i="3"/>
  <c r="B312" i="3"/>
  <c r="B310" i="3"/>
  <c r="B308" i="3"/>
  <c r="B306" i="3"/>
  <c r="B304" i="3"/>
  <c r="B302" i="3"/>
  <c r="B300" i="3"/>
  <c r="B298" i="3"/>
  <c r="B296" i="3"/>
  <c r="B294" i="3"/>
  <c r="B292" i="3"/>
  <c r="B290" i="3"/>
  <c r="B281" i="3"/>
  <c r="B279" i="3"/>
  <c r="B277" i="3"/>
  <c r="B275" i="3"/>
  <c r="B273" i="3"/>
  <c r="B271" i="3"/>
  <c r="B269" i="3"/>
  <c r="B267" i="3"/>
  <c r="B265" i="3"/>
  <c r="B263" i="3"/>
  <c r="B261" i="3"/>
  <c r="B259" i="3"/>
  <c r="B257" i="3"/>
  <c r="B255" i="3"/>
  <c r="B253" i="3"/>
  <c r="B251" i="3"/>
  <c r="B249" i="3"/>
  <c r="B247" i="3"/>
  <c r="B245" i="3"/>
  <c r="B243" i="3"/>
  <c r="B241" i="3"/>
  <c r="B239" i="3"/>
  <c r="B237" i="3"/>
  <c r="B235" i="3"/>
  <c r="B284" i="3"/>
  <c r="B283" i="3"/>
  <c r="B286" i="3"/>
  <c r="B285" i="3"/>
  <c r="B282" i="3"/>
  <c r="B280" i="3"/>
  <c r="B278" i="3"/>
  <c r="B276" i="3"/>
  <c r="B274" i="3"/>
  <c r="B272" i="3"/>
  <c r="B270" i="3"/>
  <c r="B268" i="3"/>
  <c r="B266" i="3"/>
  <c r="B264" i="3"/>
  <c r="B262" i="3"/>
  <c r="B260" i="3"/>
  <c r="B258" i="3"/>
  <c r="B256" i="3"/>
  <c r="B254" i="3"/>
  <c r="B252" i="3"/>
  <c r="B250" i="3"/>
  <c r="B248" i="3"/>
  <c r="B246" i="3"/>
  <c r="B244" i="3"/>
  <c r="B242" i="3"/>
  <c r="B240" i="3"/>
  <c r="B238" i="3"/>
  <c r="B236" i="3"/>
  <c r="B234" i="3"/>
  <c r="B316" i="3"/>
  <c r="B233" i="3"/>
  <c r="B228" i="3"/>
  <c r="B288" i="3"/>
  <c r="B230" i="3"/>
  <c r="B229" i="3"/>
  <c r="B227" i="3"/>
  <c r="B225" i="3"/>
  <c r="B223" i="3"/>
  <c r="B221" i="3"/>
  <c r="B219" i="3"/>
  <c r="B217" i="3"/>
  <c r="B215" i="3"/>
  <c r="B213" i="3"/>
  <c r="B211" i="3"/>
  <c r="B209" i="3"/>
  <c r="B207" i="3"/>
  <c r="B205" i="3"/>
  <c r="B203" i="3"/>
  <c r="B201" i="3"/>
  <c r="B199" i="3"/>
  <c r="B197" i="3"/>
  <c r="B232" i="3"/>
  <c r="B231" i="3"/>
  <c r="B220" i="3"/>
  <c r="B212" i="3"/>
  <c r="B204" i="3"/>
  <c r="B194" i="3"/>
  <c r="B190" i="3"/>
  <c r="B189" i="3"/>
  <c r="B182" i="3"/>
  <c r="B181" i="3"/>
  <c r="B179" i="3"/>
  <c r="B177" i="3"/>
  <c r="B175" i="3"/>
  <c r="B173" i="3"/>
  <c r="B171" i="3"/>
  <c r="B169" i="3"/>
  <c r="B167" i="3"/>
  <c r="B165" i="3"/>
  <c r="B163" i="3"/>
  <c r="B161" i="3"/>
  <c r="B159" i="3"/>
  <c r="B157" i="3"/>
  <c r="B155" i="3"/>
  <c r="B153" i="3"/>
  <c r="B151" i="3"/>
  <c r="B149" i="3"/>
  <c r="B147" i="3"/>
  <c r="B145" i="3"/>
  <c r="B143" i="3"/>
  <c r="B141" i="3"/>
  <c r="B139" i="3"/>
  <c r="B137" i="3"/>
  <c r="B287" i="3"/>
  <c r="B226" i="3"/>
  <c r="B218" i="3"/>
  <c r="B210" i="3"/>
  <c r="B202" i="3"/>
  <c r="B193" i="3"/>
  <c r="B191" i="3"/>
  <c r="B184" i="3"/>
  <c r="B183" i="3"/>
  <c r="B224" i="3"/>
  <c r="B216" i="3"/>
  <c r="B208" i="3"/>
  <c r="B200" i="3"/>
  <c r="B196" i="3"/>
  <c r="B192" i="3"/>
  <c r="B186" i="3"/>
  <c r="B185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34" i="3"/>
  <c r="B214" i="3"/>
  <c r="B188" i="3"/>
  <c r="B133" i="3"/>
  <c r="B128" i="3"/>
  <c r="B206" i="3"/>
  <c r="B195" i="3"/>
  <c r="B130" i="3"/>
  <c r="B129" i="3"/>
  <c r="B127" i="3"/>
  <c r="B125" i="3"/>
  <c r="B123" i="3"/>
  <c r="B121" i="3"/>
  <c r="B119" i="3"/>
  <c r="B117" i="3"/>
  <c r="B115" i="3"/>
  <c r="B113" i="3"/>
  <c r="B111" i="3"/>
  <c r="B109" i="3"/>
  <c r="B107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198" i="3"/>
  <c r="B187" i="3"/>
  <c r="B135" i="3"/>
  <c r="B132" i="3"/>
  <c r="B131" i="3"/>
  <c r="B13" i="3"/>
  <c r="B17" i="3"/>
  <c r="B21" i="3"/>
  <c r="B25" i="3"/>
  <c r="B29" i="3"/>
  <c r="B33" i="3"/>
  <c r="B36" i="3"/>
  <c r="B44" i="3"/>
  <c r="B52" i="3"/>
  <c r="B60" i="3"/>
  <c r="B68" i="3"/>
  <c r="B76" i="3"/>
  <c r="B84" i="3"/>
  <c r="B92" i="3"/>
  <c r="B100" i="3"/>
  <c r="B108" i="3"/>
  <c r="B116" i="3"/>
  <c r="B124" i="3"/>
  <c r="C122" i="3" l="1"/>
  <c r="E122" i="3"/>
  <c r="E52" i="3"/>
  <c r="C52" i="3"/>
  <c r="E187" i="3"/>
  <c r="C187" i="3"/>
  <c r="C39" i="3"/>
  <c r="E39" i="3"/>
  <c r="C63" i="3"/>
  <c r="E63" i="3"/>
  <c r="C87" i="3"/>
  <c r="E87" i="3"/>
  <c r="C95" i="3"/>
  <c r="E95" i="3"/>
  <c r="C119" i="3"/>
  <c r="E119" i="3"/>
  <c r="E214" i="3"/>
  <c r="C214" i="3"/>
  <c r="C140" i="3"/>
  <c r="E140" i="3"/>
  <c r="C164" i="3"/>
  <c r="E164" i="3"/>
  <c r="E200" i="3"/>
  <c r="C200" i="3"/>
  <c r="E183" i="3"/>
  <c r="C183" i="3"/>
  <c r="E143" i="3"/>
  <c r="C143" i="3"/>
  <c r="E167" i="3"/>
  <c r="C167" i="3"/>
  <c r="E175" i="3"/>
  <c r="C175" i="3"/>
  <c r="C232" i="3"/>
  <c r="E232" i="3"/>
  <c r="C219" i="3"/>
  <c r="E219" i="3"/>
  <c r="C236" i="3"/>
  <c r="E236" i="3"/>
  <c r="C244" i="3"/>
  <c r="E244" i="3"/>
  <c r="C268" i="3"/>
  <c r="E268" i="3"/>
  <c r="E235" i="3"/>
  <c r="C235" i="3"/>
  <c r="E259" i="3"/>
  <c r="C259" i="3"/>
  <c r="C290" i="3"/>
  <c r="E290" i="3"/>
  <c r="C298" i="3"/>
  <c r="E298" i="3"/>
  <c r="E289" i="3"/>
  <c r="C289" i="3"/>
  <c r="E313" i="3"/>
  <c r="C313" i="3"/>
  <c r="C319" i="3"/>
  <c r="E319" i="3"/>
  <c r="E350" i="3"/>
  <c r="C350" i="3"/>
  <c r="E344" i="3"/>
  <c r="C344" i="3"/>
  <c r="E334" i="3"/>
  <c r="C334" i="3"/>
  <c r="E354" i="3"/>
  <c r="C354" i="3"/>
  <c r="C345" i="3"/>
  <c r="E345" i="3"/>
  <c r="C353" i="3"/>
  <c r="E353" i="3"/>
  <c r="C361" i="3"/>
  <c r="E361" i="3"/>
  <c r="C369" i="3"/>
  <c r="E369" i="3"/>
  <c r="E62" i="3"/>
  <c r="C62" i="3"/>
  <c r="E22" i="3"/>
  <c r="C22" i="3"/>
  <c r="E90" i="3"/>
  <c r="C90" i="3"/>
  <c r="E58" i="3"/>
  <c r="C58" i="3"/>
  <c r="E28" i="3"/>
  <c r="C28" i="3"/>
  <c r="E118" i="3"/>
  <c r="C118" i="3"/>
  <c r="E38" i="3"/>
  <c r="C38" i="3"/>
  <c r="E120" i="3"/>
  <c r="C120" i="3"/>
  <c r="E88" i="3"/>
  <c r="C88" i="3"/>
  <c r="E56" i="3"/>
  <c r="C56" i="3"/>
  <c r="C27" i="3"/>
  <c r="E27" i="3"/>
  <c r="D12" i="3"/>
  <c r="I12" i="3" s="1"/>
  <c r="C12" i="3"/>
  <c r="E12" i="3"/>
  <c r="E86" i="3"/>
  <c r="C86" i="3"/>
  <c r="E108" i="3"/>
  <c r="C108" i="3"/>
  <c r="E76" i="3"/>
  <c r="C76" i="3"/>
  <c r="E44" i="3"/>
  <c r="C44" i="3"/>
  <c r="C25" i="3"/>
  <c r="E25" i="3"/>
  <c r="E131" i="3"/>
  <c r="C131" i="3"/>
  <c r="E198" i="3"/>
  <c r="C198" i="3"/>
  <c r="C41" i="3"/>
  <c r="E41" i="3"/>
  <c r="C49" i="3"/>
  <c r="E49" i="3"/>
  <c r="C57" i="3"/>
  <c r="E57" i="3"/>
  <c r="C65" i="3"/>
  <c r="E65" i="3"/>
  <c r="C73" i="3"/>
  <c r="E73" i="3"/>
  <c r="C81" i="3"/>
  <c r="E81" i="3"/>
  <c r="C89" i="3"/>
  <c r="E89" i="3"/>
  <c r="C97" i="3"/>
  <c r="E97" i="3"/>
  <c r="C105" i="3"/>
  <c r="E105" i="3"/>
  <c r="C113" i="3"/>
  <c r="E113" i="3"/>
  <c r="C121" i="3"/>
  <c r="E121" i="3"/>
  <c r="E129" i="3"/>
  <c r="C129" i="3"/>
  <c r="C128" i="3"/>
  <c r="E128" i="3"/>
  <c r="C134" i="3"/>
  <c r="E134" i="3"/>
  <c r="C142" i="3"/>
  <c r="E142" i="3"/>
  <c r="C150" i="3"/>
  <c r="E150" i="3"/>
  <c r="C158" i="3"/>
  <c r="E158" i="3"/>
  <c r="C166" i="3"/>
  <c r="E166" i="3"/>
  <c r="C174" i="3"/>
  <c r="E174" i="3"/>
  <c r="C186" i="3"/>
  <c r="E186" i="3"/>
  <c r="E208" i="3"/>
  <c r="C208" i="3"/>
  <c r="C184" i="3"/>
  <c r="E184" i="3"/>
  <c r="E210" i="3"/>
  <c r="C210" i="3"/>
  <c r="E137" i="3"/>
  <c r="C137" i="3"/>
  <c r="E145" i="3"/>
  <c r="C145" i="3"/>
  <c r="E153" i="3"/>
  <c r="C153" i="3"/>
  <c r="E161" i="3"/>
  <c r="C161" i="3"/>
  <c r="E169" i="3"/>
  <c r="C169" i="3"/>
  <c r="E177" i="3"/>
  <c r="C177" i="3"/>
  <c r="E189" i="3"/>
  <c r="C189" i="3"/>
  <c r="E212" i="3"/>
  <c r="C212" i="3"/>
  <c r="C197" i="3"/>
  <c r="E197" i="3"/>
  <c r="C205" i="3"/>
  <c r="E205" i="3"/>
  <c r="C213" i="3"/>
  <c r="E213" i="3"/>
  <c r="C221" i="3"/>
  <c r="E221" i="3"/>
  <c r="E229" i="3"/>
  <c r="C229" i="3"/>
  <c r="E233" i="3"/>
  <c r="C233" i="3"/>
  <c r="C238" i="3"/>
  <c r="E238" i="3"/>
  <c r="C246" i="3"/>
  <c r="E246" i="3"/>
  <c r="C254" i="3"/>
  <c r="E254" i="3"/>
  <c r="C262" i="3"/>
  <c r="E262" i="3"/>
  <c r="C270" i="3"/>
  <c r="E270" i="3"/>
  <c r="C278" i="3"/>
  <c r="E278" i="3"/>
  <c r="C286" i="3"/>
  <c r="E286" i="3"/>
  <c r="E237" i="3"/>
  <c r="C237" i="3"/>
  <c r="E245" i="3"/>
  <c r="C245" i="3"/>
  <c r="E253" i="3"/>
  <c r="C253" i="3"/>
  <c r="E261" i="3"/>
  <c r="C261" i="3"/>
  <c r="E269" i="3"/>
  <c r="C269" i="3"/>
  <c r="E277" i="3"/>
  <c r="C277" i="3"/>
  <c r="C292" i="3"/>
  <c r="E292" i="3"/>
  <c r="C300" i="3"/>
  <c r="E300" i="3"/>
  <c r="C308" i="3"/>
  <c r="E308" i="3"/>
  <c r="E314" i="3"/>
  <c r="C314" i="3"/>
  <c r="E291" i="3"/>
  <c r="C291" i="3"/>
  <c r="E299" i="3"/>
  <c r="C299" i="3"/>
  <c r="E307" i="3"/>
  <c r="C307" i="3"/>
  <c r="E364" i="3"/>
  <c r="C364" i="3"/>
  <c r="C321" i="3"/>
  <c r="E321" i="3"/>
  <c r="C329" i="3"/>
  <c r="E329" i="3"/>
  <c r="C337" i="3"/>
  <c r="E337" i="3"/>
  <c r="E358" i="3"/>
  <c r="C358" i="3"/>
  <c r="E352" i="3"/>
  <c r="C352" i="3"/>
  <c r="E320" i="3"/>
  <c r="C320" i="3"/>
  <c r="E328" i="3"/>
  <c r="C328" i="3"/>
  <c r="E336" i="3"/>
  <c r="C336" i="3"/>
  <c r="E362" i="3"/>
  <c r="C362" i="3"/>
  <c r="C347" i="3"/>
  <c r="E347" i="3"/>
  <c r="C355" i="3"/>
  <c r="E355" i="3"/>
  <c r="C363" i="3"/>
  <c r="E363" i="3"/>
  <c r="C371" i="3"/>
  <c r="E371" i="3"/>
  <c r="E46" i="3"/>
  <c r="C46" i="3"/>
  <c r="E114" i="3"/>
  <c r="C114" i="3"/>
  <c r="E82" i="3"/>
  <c r="C82" i="3"/>
  <c r="E50" i="3"/>
  <c r="C50" i="3"/>
  <c r="E24" i="3"/>
  <c r="C24" i="3"/>
  <c r="E94" i="3"/>
  <c r="C94" i="3"/>
  <c r="E30" i="3"/>
  <c r="C30" i="3"/>
  <c r="E112" i="3"/>
  <c r="C112" i="3"/>
  <c r="E80" i="3"/>
  <c r="C80" i="3"/>
  <c r="E48" i="3"/>
  <c r="C48" i="3"/>
  <c r="C23" i="3"/>
  <c r="E23" i="3"/>
  <c r="E54" i="3"/>
  <c r="C54" i="3"/>
  <c r="E116" i="3"/>
  <c r="C116" i="3"/>
  <c r="E13" i="3"/>
  <c r="C13" i="3"/>
  <c r="C47" i="3"/>
  <c r="E47" i="3"/>
  <c r="C71" i="3"/>
  <c r="E71" i="3"/>
  <c r="C103" i="3"/>
  <c r="E103" i="3"/>
  <c r="C127" i="3"/>
  <c r="E127" i="3"/>
  <c r="C148" i="3"/>
  <c r="E148" i="3"/>
  <c r="E185" i="3"/>
  <c r="C185" i="3"/>
  <c r="E287" i="3"/>
  <c r="C287" i="3"/>
  <c r="E151" i="3"/>
  <c r="C151" i="3"/>
  <c r="C182" i="3"/>
  <c r="E182" i="3"/>
  <c r="C203" i="3"/>
  <c r="E203" i="3"/>
  <c r="C227" i="3"/>
  <c r="E227" i="3"/>
  <c r="C260" i="3"/>
  <c r="E260" i="3"/>
  <c r="E285" i="3"/>
  <c r="C285" i="3"/>
  <c r="E251" i="3"/>
  <c r="C251" i="3"/>
  <c r="E267" i="3"/>
  <c r="C267" i="3"/>
  <c r="E348" i="3"/>
  <c r="C348" i="3"/>
  <c r="E297" i="3"/>
  <c r="C297" i="3"/>
  <c r="C327" i="3"/>
  <c r="E327" i="3"/>
  <c r="E318" i="3"/>
  <c r="C318" i="3"/>
  <c r="E100" i="3"/>
  <c r="C100" i="3"/>
  <c r="E68" i="3"/>
  <c r="C68" i="3"/>
  <c r="E36" i="3"/>
  <c r="C36" i="3"/>
  <c r="C21" i="3"/>
  <c r="E21" i="3"/>
  <c r="C132" i="3"/>
  <c r="E132" i="3"/>
  <c r="C35" i="3"/>
  <c r="E35" i="3"/>
  <c r="C43" i="3"/>
  <c r="E43" i="3"/>
  <c r="C51" i="3"/>
  <c r="E51" i="3"/>
  <c r="C59" i="3"/>
  <c r="E59" i="3"/>
  <c r="C67" i="3"/>
  <c r="E67" i="3"/>
  <c r="C75" i="3"/>
  <c r="E75" i="3"/>
  <c r="C83" i="3"/>
  <c r="E83" i="3"/>
  <c r="C91" i="3"/>
  <c r="E91" i="3"/>
  <c r="C99" i="3"/>
  <c r="E99" i="3"/>
  <c r="C107" i="3"/>
  <c r="E107" i="3"/>
  <c r="C115" i="3"/>
  <c r="E115" i="3"/>
  <c r="C123" i="3"/>
  <c r="E123" i="3"/>
  <c r="C130" i="3"/>
  <c r="E130" i="3"/>
  <c r="E133" i="3"/>
  <c r="C133" i="3"/>
  <c r="C136" i="3"/>
  <c r="E136" i="3"/>
  <c r="C144" i="3"/>
  <c r="E144" i="3"/>
  <c r="C152" i="3"/>
  <c r="E152" i="3"/>
  <c r="C160" i="3"/>
  <c r="E160" i="3"/>
  <c r="C168" i="3"/>
  <c r="E168" i="3"/>
  <c r="C176" i="3"/>
  <c r="E176" i="3"/>
  <c r="E192" i="3"/>
  <c r="C192" i="3"/>
  <c r="E216" i="3"/>
  <c r="C216" i="3"/>
  <c r="E191" i="3"/>
  <c r="C191" i="3"/>
  <c r="E218" i="3"/>
  <c r="C218" i="3"/>
  <c r="E139" i="3"/>
  <c r="C139" i="3"/>
  <c r="E147" i="3"/>
  <c r="C147" i="3"/>
  <c r="E155" i="3"/>
  <c r="C155" i="3"/>
  <c r="E163" i="3"/>
  <c r="C163" i="3"/>
  <c r="E171" i="3"/>
  <c r="C171" i="3"/>
  <c r="E179" i="3"/>
  <c r="C179" i="3"/>
  <c r="C190" i="3"/>
  <c r="E190" i="3"/>
  <c r="E220" i="3"/>
  <c r="C220" i="3"/>
  <c r="C199" i="3"/>
  <c r="E199" i="3"/>
  <c r="C207" i="3"/>
  <c r="E207" i="3"/>
  <c r="C215" i="3"/>
  <c r="E215" i="3"/>
  <c r="C223" i="3"/>
  <c r="E223" i="3"/>
  <c r="C230" i="3"/>
  <c r="E230" i="3"/>
  <c r="E316" i="3"/>
  <c r="C316" i="3"/>
  <c r="C240" i="3"/>
  <c r="E240" i="3"/>
  <c r="C248" i="3"/>
  <c r="E248" i="3"/>
  <c r="C256" i="3"/>
  <c r="E256" i="3"/>
  <c r="C264" i="3"/>
  <c r="E264" i="3"/>
  <c r="C272" i="3"/>
  <c r="E272" i="3"/>
  <c r="C280" i="3"/>
  <c r="E280" i="3"/>
  <c r="E283" i="3"/>
  <c r="C283" i="3"/>
  <c r="E239" i="3"/>
  <c r="C239" i="3"/>
  <c r="E247" i="3"/>
  <c r="C247" i="3"/>
  <c r="E255" i="3"/>
  <c r="C255" i="3"/>
  <c r="E263" i="3"/>
  <c r="C263" i="3"/>
  <c r="E271" i="3"/>
  <c r="C271" i="3"/>
  <c r="E279" i="3"/>
  <c r="C279" i="3"/>
  <c r="C294" i="3"/>
  <c r="E294" i="3"/>
  <c r="C302" i="3"/>
  <c r="E302" i="3"/>
  <c r="C310" i="3"/>
  <c r="E310" i="3"/>
  <c r="C339" i="3"/>
  <c r="E339" i="3"/>
  <c r="E293" i="3"/>
  <c r="C293" i="3"/>
  <c r="E301" i="3"/>
  <c r="C301" i="3"/>
  <c r="E309" i="3"/>
  <c r="C309" i="3"/>
  <c r="C315" i="3"/>
  <c r="E315" i="3"/>
  <c r="C323" i="3"/>
  <c r="E323" i="3"/>
  <c r="C331" i="3"/>
  <c r="E331" i="3"/>
  <c r="E340" i="3"/>
  <c r="C340" i="3"/>
  <c r="E366" i="3"/>
  <c r="C366" i="3"/>
  <c r="E360" i="3"/>
  <c r="C360" i="3"/>
  <c r="E322" i="3"/>
  <c r="C322" i="3"/>
  <c r="E330" i="3"/>
  <c r="C330" i="3"/>
  <c r="E338" i="3"/>
  <c r="C338" i="3"/>
  <c r="E370" i="3"/>
  <c r="C370" i="3"/>
  <c r="C349" i="3"/>
  <c r="E349" i="3"/>
  <c r="C357" i="3"/>
  <c r="E357" i="3"/>
  <c r="C365" i="3"/>
  <c r="E365" i="3"/>
  <c r="E110" i="3"/>
  <c r="C110" i="3"/>
  <c r="E34" i="3"/>
  <c r="C34" i="3"/>
  <c r="E106" i="3"/>
  <c r="C106" i="3"/>
  <c r="E74" i="3"/>
  <c r="C74" i="3"/>
  <c r="E42" i="3"/>
  <c r="C42" i="3"/>
  <c r="E20" i="3"/>
  <c r="C20" i="3"/>
  <c r="E78" i="3"/>
  <c r="C78" i="3"/>
  <c r="E14" i="3"/>
  <c r="C14" i="3"/>
  <c r="E104" i="3"/>
  <c r="C104" i="3"/>
  <c r="E72" i="3"/>
  <c r="C72" i="3"/>
  <c r="E40" i="3"/>
  <c r="C40" i="3"/>
  <c r="C19" i="3"/>
  <c r="E19" i="3"/>
  <c r="E222" i="3"/>
  <c r="C222" i="3"/>
  <c r="E18" i="3"/>
  <c r="C18" i="3"/>
  <c r="E84" i="3"/>
  <c r="C84" i="3"/>
  <c r="C29" i="3"/>
  <c r="E29" i="3"/>
  <c r="C55" i="3"/>
  <c r="E55" i="3"/>
  <c r="C79" i="3"/>
  <c r="E79" i="3"/>
  <c r="C111" i="3"/>
  <c r="E111" i="3"/>
  <c r="E206" i="3"/>
  <c r="C206" i="3"/>
  <c r="C156" i="3"/>
  <c r="E156" i="3"/>
  <c r="C172" i="3"/>
  <c r="E172" i="3"/>
  <c r="E202" i="3"/>
  <c r="C202" i="3"/>
  <c r="E159" i="3"/>
  <c r="C159" i="3"/>
  <c r="E204" i="3"/>
  <c r="C204" i="3"/>
  <c r="C211" i="3"/>
  <c r="E211" i="3"/>
  <c r="C228" i="3"/>
  <c r="E228" i="3"/>
  <c r="C252" i="3"/>
  <c r="E252" i="3"/>
  <c r="C276" i="3"/>
  <c r="E276" i="3"/>
  <c r="E243" i="3"/>
  <c r="C243" i="3"/>
  <c r="E275" i="3"/>
  <c r="C275" i="3"/>
  <c r="C306" i="3"/>
  <c r="E306" i="3"/>
  <c r="E305" i="3"/>
  <c r="C305" i="3"/>
  <c r="C335" i="3"/>
  <c r="E335" i="3"/>
  <c r="E326" i="3"/>
  <c r="C326" i="3"/>
  <c r="E124" i="3"/>
  <c r="C124" i="3"/>
  <c r="E92" i="3"/>
  <c r="C92" i="3"/>
  <c r="E60" i="3"/>
  <c r="C60" i="3"/>
  <c r="C33" i="3"/>
  <c r="E33" i="3"/>
  <c r="C17" i="3"/>
  <c r="E17" i="3"/>
  <c r="E135" i="3"/>
  <c r="C135" i="3"/>
  <c r="C37" i="3"/>
  <c r="E37" i="3"/>
  <c r="C45" i="3"/>
  <c r="E45" i="3"/>
  <c r="C53" i="3"/>
  <c r="E53" i="3"/>
  <c r="C61" i="3"/>
  <c r="E61" i="3"/>
  <c r="C69" i="3"/>
  <c r="E69" i="3"/>
  <c r="C77" i="3"/>
  <c r="E77" i="3"/>
  <c r="C85" i="3"/>
  <c r="E85" i="3"/>
  <c r="C93" i="3"/>
  <c r="E93" i="3"/>
  <c r="C101" i="3"/>
  <c r="E101" i="3"/>
  <c r="C109" i="3"/>
  <c r="E109" i="3"/>
  <c r="C117" i="3"/>
  <c r="E117" i="3"/>
  <c r="C125" i="3"/>
  <c r="E125" i="3"/>
  <c r="C195" i="3"/>
  <c r="E195" i="3"/>
  <c r="C188" i="3"/>
  <c r="E188" i="3"/>
  <c r="C138" i="3"/>
  <c r="E138" i="3"/>
  <c r="C146" i="3"/>
  <c r="E146" i="3"/>
  <c r="C154" i="3"/>
  <c r="E154" i="3"/>
  <c r="C162" i="3"/>
  <c r="E162" i="3"/>
  <c r="C170" i="3"/>
  <c r="E170" i="3"/>
  <c r="C178" i="3"/>
  <c r="E178" i="3"/>
  <c r="E196" i="3"/>
  <c r="C196" i="3"/>
  <c r="E224" i="3"/>
  <c r="C224" i="3"/>
  <c r="C193" i="3"/>
  <c r="E193" i="3"/>
  <c r="E226" i="3"/>
  <c r="C226" i="3"/>
  <c r="E141" i="3"/>
  <c r="C141" i="3"/>
  <c r="E149" i="3"/>
  <c r="C149" i="3"/>
  <c r="E157" i="3"/>
  <c r="C157" i="3"/>
  <c r="E165" i="3"/>
  <c r="C165" i="3"/>
  <c r="E173" i="3"/>
  <c r="C173" i="3"/>
  <c r="E181" i="3"/>
  <c r="C181" i="3"/>
  <c r="E194" i="3"/>
  <c r="C194" i="3"/>
  <c r="E231" i="3"/>
  <c r="C231" i="3"/>
  <c r="C201" i="3"/>
  <c r="E201" i="3"/>
  <c r="C209" i="3"/>
  <c r="E209" i="3"/>
  <c r="C217" i="3"/>
  <c r="E217" i="3"/>
  <c r="C225" i="3"/>
  <c r="E225" i="3"/>
  <c r="C288" i="3"/>
  <c r="E288" i="3"/>
  <c r="C234" i="3"/>
  <c r="E234" i="3"/>
  <c r="C242" i="3"/>
  <c r="E242" i="3"/>
  <c r="C250" i="3"/>
  <c r="E250" i="3"/>
  <c r="C258" i="3"/>
  <c r="E258" i="3"/>
  <c r="C266" i="3"/>
  <c r="E266" i="3"/>
  <c r="C274" i="3"/>
  <c r="E274" i="3"/>
  <c r="C282" i="3"/>
  <c r="E282" i="3"/>
  <c r="C284" i="3"/>
  <c r="E284" i="3"/>
  <c r="E241" i="3"/>
  <c r="C241" i="3"/>
  <c r="E249" i="3"/>
  <c r="C249" i="3"/>
  <c r="E257" i="3"/>
  <c r="C257" i="3"/>
  <c r="E265" i="3"/>
  <c r="C265" i="3"/>
  <c r="E273" i="3"/>
  <c r="C273" i="3"/>
  <c r="E281" i="3"/>
  <c r="C281" i="3"/>
  <c r="C296" i="3"/>
  <c r="E296" i="3"/>
  <c r="C304" i="3"/>
  <c r="E304" i="3"/>
  <c r="C312" i="3"/>
  <c r="E312" i="3"/>
  <c r="E356" i="3"/>
  <c r="C356" i="3"/>
  <c r="E295" i="3"/>
  <c r="C295" i="3"/>
  <c r="E303" i="3"/>
  <c r="C303" i="3"/>
  <c r="E311" i="3"/>
  <c r="C311" i="3"/>
  <c r="C317" i="3"/>
  <c r="E317" i="3"/>
  <c r="C325" i="3"/>
  <c r="E325" i="3"/>
  <c r="C333" i="3"/>
  <c r="E333" i="3"/>
  <c r="E342" i="3"/>
  <c r="C342" i="3"/>
  <c r="C341" i="3"/>
  <c r="E341" i="3"/>
  <c r="E368" i="3"/>
  <c r="C368" i="3"/>
  <c r="E324" i="3"/>
  <c r="C324" i="3"/>
  <c r="E332" i="3"/>
  <c r="C332" i="3"/>
  <c r="E346" i="3"/>
  <c r="C346" i="3"/>
  <c r="C343" i="3"/>
  <c r="E343" i="3"/>
  <c r="C351" i="3"/>
  <c r="E351" i="3"/>
  <c r="C359" i="3"/>
  <c r="E359" i="3"/>
  <c r="C367" i="3"/>
  <c r="E367" i="3"/>
  <c r="E102" i="3"/>
  <c r="C102" i="3"/>
  <c r="E26" i="3"/>
  <c r="C26" i="3"/>
  <c r="E98" i="3"/>
  <c r="C98" i="3"/>
  <c r="E66" i="3"/>
  <c r="C66" i="3"/>
  <c r="E32" i="3"/>
  <c r="C32" i="3"/>
  <c r="E16" i="3"/>
  <c r="C16" i="3"/>
  <c r="E70" i="3"/>
  <c r="C70" i="3"/>
  <c r="C180" i="3"/>
  <c r="E180" i="3"/>
  <c r="E96" i="3"/>
  <c r="C96" i="3"/>
  <c r="E64" i="3"/>
  <c r="C64" i="3"/>
  <c r="C31" i="3"/>
  <c r="E31" i="3"/>
  <c r="C15" i="3"/>
  <c r="E15" i="3"/>
  <c r="E126" i="3"/>
  <c r="C126" i="3"/>
  <c r="K12" i="3" l="1"/>
  <c r="F12" i="3"/>
  <c r="G12" i="3" s="1"/>
  <c r="H12" i="3" s="1"/>
  <c r="J12" i="3" l="1"/>
  <c r="D13" i="3" s="1"/>
  <c r="I13" i="3" l="1"/>
  <c r="F13" i="3"/>
  <c r="G13" i="3" l="1"/>
  <c r="H13" i="3" s="1"/>
  <c r="J13" i="3" s="1"/>
  <c r="D14" i="3" s="1"/>
  <c r="K13" i="3"/>
  <c r="F14" i="3" l="1"/>
  <c r="I14" i="3"/>
  <c r="K14" i="3" l="1"/>
  <c r="G14" i="3"/>
  <c r="H14" i="3" s="1"/>
  <c r="J14" i="3" s="1"/>
  <c r="D15" i="3" s="1"/>
  <c r="I15" i="3" l="1"/>
  <c r="F15" i="3"/>
  <c r="G15" i="3" l="1"/>
  <c r="H15" i="3" s="1"/>
  <c r="J15" i="3" s="1"/>
  <c r="D16" i="3" s="1"/>
  <c r="K15" i="3"/>
  <c r="F16" i="3" l="1"/>
  <c r="I16" i="3"/>
  <c r="K16" i="3" l="1"/>
  <c r="G16" i="3"/>
  <c r="H16" i="3" s="1"/>
  <c r="J16" i="3" s="1"/>
  <c r="D17" i="3" s="1"/>
  <c r="I17" i="3" l="1"/>
  <c r="F17" i="3"/>
  <c r="K17" i="3" l="1"/>
  <c r="G17" i="3"/>
  <c r="H17" i="3" s="1"/>
  <c r="J17" i="3" s="1"/>
  <c r="D18" i="3" s="1"/>
  <c r="F18" i="3" l="1"/>
  <c r="I18" i="3"/>
  <c r="K18" i="3" s="1"/>
  <c r="G18" i="3" l="1"/>
  <c r="H18" i="3" s="1"/>
  <c r="J18" i="3" s="1"/>
  <c r="D19" i="3" s="1"/>
  <c r="I19" i="3" l="1"/>
  <c r="K19" i="3" s="1"/>
  <c r="F19" i="3"/>
  <c r="G19" i="3" l="1"/>
  <c r="H19" i="3" s="1"/>
  <c r="J19" i="3" s="1"/>
  <c r="D20" i="3" s="1"/>
  <c r="I20" i="3" l="1"/>
  <c r="K20" i="3" s="1"/>
  <c r="F20" i="3"/>
  <c r="G20" i="3" l="1"/>
  <c r="H20" i="3" s="1"/>
  <c r="J20" i="3" s="1"/>
  <c r="D21" i="3" s="1"/>
  <c r="I21" i="3" l="1"/>
  <c r="K21" i="3" s="1"/>
  <c r="F21" i="3"/>
  <c r="G21" i="3" l="1"/>
  <c r="H21" i="3" s="1"/>
  <c r="J21" i="3" s="1"/>
  <c r="D22" i="3" s="1"/>
  <c r="I22" i="3" l="1"/>
  <c r="K22" i="3" s="1"/>
  <c r="F22" i="3"/>
  <c r="G22" i="3" l="1"/>
  <c r="H22" i="3" s="1"/>
  <c r="J22" i="3" s="1"/>
  <c r="D23" i="3" s="1"/>
  <c r="I23" i="3" l="1"/>
  <c r="K23" i="3" s="1"/>
  <c r="F23" i="3"/>
  <c r="G23" i="3" l="1"/>
  <c r="H23" i="3" s="1"/>
  <c r="J23" i="3" s="1"/>
  <c r="D24" i="3" s="1"/>
  <c r="I24" i="3" l="1"/>
  <c r="K24" i="3" s="1"/>
  <c r="F24" i="3"/>
  <c r="G24" i="3" l="1"/>
  <c r="H24" i="3" s="1"/>
  <c r="J24" i="3" s="1"/>
  <c r="D25" i="3" s="1"/>
  <c r="F25" i="3" l="1"/>
  <c r="I25" i="3"/>
  <c r="K25" i="3" s="1"/>
  <c r="G25" i="3" l="1"/>
  <c r="H25" i="3" s="1"/>
  <c r="J25" i="3" s="1"/>
  <c r="D26" i="3" s="1"/>
  <c r="F26" i="3" l="1"/>
  <c r="I26" i="3"/>
  <c r="K26" i="3" s="1"/>
  <c r="G26" i="3" l="1"/>
  <c r="H26" i="3" s="1"/>
  <c r="J26" i="3" s="1"/>
  <c r="D27" i="3" s="1"/>
  <c r="I27" i="3" l="1"/>
  <c r="K27" i="3" s="1"/>
  <c r="F27" i="3"/>
  <c r="G27" i="3" l="1"/>
  <c r="H27" i="3" s="1"/>
  <c r="J27" i="3" s="1"/>
  <c r="D28" i="3" s="1"/>
  <c r="I28" i="3" l="1"/>
  <c r="K28" i="3" s="1"/>
  <c r="F28" i="3"/>
  <c r="G28" i="3" l="1"/>
  <c r="H28" i="3" s="1"/>
  <c r="J28" i="3" s="1"/>
  <c r="D29" i="3" s="1"/>
  <c r="F29" i="3" l="1"/>
  <c r="I29" i="3"/>
  <c r="K29" i="3" s="1"/>
  <c r="G29" i="3" l="1"/>
  <c r="H29" i="3" s="1"/>
  <c r="J29" i="3" s="1"/>
  <c r="D30" i="3" s="1"/>
  <c r="F30" i="3" l="1"/>
  <c r="I30" i="3"/>
  <c r="K30" i="3" s="1"/>
  <c r="G30" i="3" l="1"/>
  <c r="H30" i="3" s="1"/>
  <c r="J30" i="3" s="1"/>
  <c r="D31" i="3" s="1"/>
  <c r="I31" i="3" l="1"/>
  <c r="K31" i="3" s="1"/>
  <c r="F31" i="3"/>
  <c r="G31" i="3" l="1"/>
  <c r="H31" i="3" s="1"/>
  <c r="J31" i="3" s="1"/>
  <c r="D32" i="3" s="1"/>
  <c r="I32" i="3" l="1"/>
  <c r="K32" i="3" s="1"/>
  <c r="F32" i="3"/>
  <c r="G32" i="3" l="1"/>
  <c r="H32" i="3" s="1"/>
  <c r="J32" i="3" s="1"/>
  <c r="D33" i="3" s="1"/>
  <c r="I33" i="3" l="1"/>
  <c r="K33" i="3" s="1"/>
  <c r="F33" i="3"/>
  <c r="G33" i="3" l="1"/>
  <c r="H33" i="3" s="1"/>
  <c r="J33" i="3" s="1"/>
  <c r="D34" i="3" s="1"/>
  <c r="I34" i="3" l="1"/>
  <c r="K34" i="3" s="1"/>
  <c r="F34" i="3"/>
  <c r="G34" i="3" l="1"/>
  <c r="H34" i="3" s="1"/>
  <c r="J34" i="3" s="1"/>
  <c r="D35" i="3" s="1"/>
  <c r="F35" i="3" l="1"/>
  <c r="I35" i="3"/>
  <c r="K35" i="3" s="1"/>
  <c r="G35" i="3" l="1"/>
  <c r="H35" i="3" s="1"/>
  <c r="J35" i="3" s="1"/>
  <c r="D36" i="3" s="1"/>
  <c r="I36" i="3" l="1"/>
  <c r="K36" i="3" s="1"/>
  <c r="F36" i="3"/>
  <c r="G36" i="3" l="1"/>
  <c r="H36" i="3" s="1"/>
  <c r="J36" i="3" s="1"/>
  <c r="D37" i="3" s="1"/>
  <c r="I37" i="3" l="1"/>
  <c r="K37" i="3" s="1"/>
  <c r="F37" i="3"/>
  <c r="G37" i="3" l="1"/>
  <c r="H37" i="3" s="1"/>
  <c r="J37" i="3" s="1"/>
  <c r="D38" i="3" s="1"/>
  <c r="I38" i="3" l="1"/>
  <c r="K38" i="3" s="1"/>
  <c r="F38" i="3"/>
  <c r="G38" i="3" l="1"/>
  <c r="H38" i="3" s="1"/>
  <c r="J38" i="3" s="1"/>
  <c r="D39" i="3" s="1"/>
  <c r="I39" i="3" l="1"/>
  <c r="K39" i="3" s="1"/>
  <c r="F39" i="3"/>
  <c r="G39" i="3" l="1"/>
  <c r="H39" i="3" s="1"/>
  <c r="J39" i="3" s="1"/>
  <c r="D40" i="3" s="1"/>
  <c r="I40" i="3" l="1"/>
  <c r="K40" i="3" s="1"/>
  <c r="F40" i="3"/>
  <c r="G40" i="3" l="1"/>
  <c r="H40" i="3" s="1"/>
  <c r="J40" i="3" s="1"/>
  <c r="D41" i="3" s="1"/>
  <c r="I41" i="3" l="1"/>
  <c r="F41" i="3"/>
  <c r="K41" i="3" l="1"/>
  <c r="G41" i="3"/>
  <c r="H41" i="3" s="1"/>
  <c r="J41" i="3" s="1"/>
  <c r="D42" i="3" s="1"/>
  <c r="I42" i="3" l="1"/>
  <c r="K42" i="3" s="1"/>
  <c r="F42" i="3"/>
  <c r="G42" i="3" l="1"/>
  <c r="H42" i="3" s="1"/>
  <c r="J42" i="3" s="1"/>
  <c r="D43" i="3" s="1"/>
  <c r="I43" i="3" l="1"/>
  <c r="K43" i="3" s="1"/>
  <c r="F43" i="3"/>
  <c r="G43" i="3" l="1"/>
  <c r="H43" i="3" s="1"/>
  <c r="J43" i="3" s="1"/>
  <c r="D44" i="3" s="1"/>
  <c r="I44" i="3" l="1"/>
  <c r="K44" i="3" s="1"/>
  <c r="F44" i="3"/>
  <c r="G44" i="3" l="1"/>
  <c r="H44" i="3" s="1"/>
  <c r="J44" i="3" s="1"/>
  <c r="D45" i="3" s="1"/>
  <c r="I45" i="3" l="1"/>
  <c r="K45" i="3" s="1"/>
  <c r="F45" i="3"/>
  <c r="G45" i="3" l="1"/>
  <c r="H45" i="3" s="1"/>
  <c r="J45" i="3" s="1"/>
  <c r="D46" i="3" s="1"/>
  <c r="I46" i="3" l="1"/>
  <c r="K46" i="3" s="1"/>
  <c r="F46" i="3"/>
  <c r="G46" i="3" l="1"/>
  <c r="H46" i="3" s="1"/>
  <c r="J46" i="3" s="1"/>
  <c r="D47" i="3" s="1"/>
  <c r="I47" i="3" l="1"/>
  <c r="K47" i="3" s="1"/>
  <c r="F47" i="3"/>
  <c r="G47" i="3" l="1"/>
  <c r="H47" i="3" s="1"/>
  <c r="J47" i="3" s="1"/>
  <c r="D48" i="3" s="1"/>
  <c r="F48" i="3" l="1"/>
  <c r="I48" i="3"/>
  <c r="K48" i="3" s="1"/>
  <c r="G48" i="3" l="1"/>
  <c r="H48" i="3" s="1"/>
  <c r="J48" i="3" s="1"/>
  <c r="D49" i="3" s="1"/>
  <c r="F49" i="3" l="1"/>
  <c r="I49" i="3"/>
  <c r="K49" i="3" s="1"/>
  <c r="G49" i="3" l="1"/>
  <c r="H49" i="3" s="1"/>
  <c r="J49" i="3" s="1"/>
  <c r="D50" i="3" s="1"/>
  <c r="I50" i="3" l="1"/>
  <c r="K50" i="3" s="1"/>
  <c r="F50" i="3"/>
  <c r="G50" i="3" l="1"/>
  <c r="H50" i="3" s="1"/>
  <c r="J50" i="3" s="1"/>
  <c r="D51" i="3" s="1"/>
  <c r="I51" i="3" l="1"/>
  <c r="K51" i="3" s="1"/>
  <c r="F51" i="3"/>
  <c r="G51" i="3" l="1"/>
  <c r="H51" i="3" s="1"/>
  <c r="J51" i="3" s="1"/>
  <c r="D52" i="3" s="1"/>
  <c r="F52" i="3" l="1"/>
  <c r="I52" i="3"/>
  <c r="K52" i="3" s="1"/>
  <c r="G52" i="3" l="1"/>
  <c r="H52" i="3" s="1"/>
  <c r="J52" i="3" s="1"/>
  <c r="D53" i="3" s="1"/>
  <c r="I53" i="3" l="1"/>
  <c r="K53" i="3" s="1"/>
  <c r="F53" i="3"/>
  <c r="G53" i="3" l="1"/>
  <c r="H53" i="3" s="1"/>
  <c r="J53" i="3" s="1"/>
  <c r="D54" i="3" s="1"/>
  <c r="I54" i="3" l="1"/>
  <c r="K54" i="3" s="1"/>
  <c r="F54" i="3"/>
  <c r="G54" i="3" l="1"/>
  <c r="H54" i="3" s="1"/>
  <c r="J54" i="3" s="1"/>
  <c r="D55" i="3" s="1"/>
  <c r="I55" i="3" l="1"/>
  <c r="K55" i="3" s="1"/>
  <c r="F55" i="3"/>
  <c r="G55" i="3" l="1"/>
  <c r="H55" i="3" s="1"/>
  <c r="J55" i="3" s="1"/>
  <c r="D56" i="3" s="1"/>
  <c r="F56" i="3" l="1"/>
  <c r="I56" i="3"/>
  <c r="K56" i="3" s="1"/>
  <c r="G56" i="3" l="1"/>
  <c r="H56" i="3" s="1"/>
  <c r="J56" i="3" s="1"/>
  <c r="D57" i="3" s="1"/>
  <c r="I57" i="3" l="1"/>
  <c r="K57" i="3" s="1"/>
  <c r="F57" i="3"/>
  <c r="G57" i="3" l="1"/>
  <c r="H57" i="3" s="1"/>
  <c r="J57" i="3" s="1"/>
  <c r="D58" i="3" s="1"/>
  <c r="I58" i="3" l="1"/>
  <c r="K58" i="3" s="1"/>
  <c r="F58" i="3"/>
  <c r="G58" i="3" l="1"/>
  <c r="H58" i="3" s="1"/>
  <c r="J58" i="3" s="1"/>
  <c r="D59" i="3" s="1"/>
  <c r="I59" i="3" l="1"/>
  <c r="K59" i="3" s="1"/>
  <c r="F59" i="3"/>
  <c r="G59" i="3" l="1"/>
  <c r="H59" i="3" s="1"/>
  <c r="J59" i="3" s="1"/>
  <c r="D60" i="3" s="1"/>
  <c r="I60" i="3" l="1"/>
  <c r="K60" i="3" s="1"/>
  <c r="F60" i="3"/>
  <c r="G60" i="3" l="1"/>
  <c r="H60" i="3" s="1"/>
  <c r="J60" i="3" s="1"/>
  <c r="D61" i="3" s="1"/>
  <c r="F61" i="3" l="1"/>
  <c r="I61" i="3"/>
  <c r="K61" i="3" s="1"/>
  <c r="G61" i="3" l="1"/>
  <c r="H61" i="3" s="1"/>
  <c r="J61" i="3" s="1"/>
  <c r="D62" i="3" s="1"/>
  <c r="I62" i="3" l="1"/>
  <c r="K62" i="3" s="1"/>
  <c r="F62" i="3"/>
  <c r="G62" i="3" l="1"/>
  <c r="H62" i="3" s="1"/>
  <c r="J62" i="3" s="1"/>
  <c r="D63" i="3" s="1"/>
  <c r="I63" i="3" l="1"/>
  <c r="K63" i="3" s="1"/>
  <c r="F63" i="3"/>
  <c r="G63" i="3" l="1"/>
  <c r="H63" i="3" s="1"/>
  <c r="J63" i="3" s="1"/>
  <c r="D64" i="3" s="1"/>
  <c r="I64" i="3" l="1"/>
  <c r="K64" i="3" s="1"/>
  <c r="F64" i="3"/>
  <c r="G64" i="3" l="1"/>
  <c r="H64" i="3" s="1"/>
  <c r="J64" i="3" s="1"/>
  <c r="D65" i="3" s="1"/>
  <c r="I65" i="3" l="1"/>
  <c r="K65" i="3" s="1"/>
  <c r="F65" i="3"/>
  <c r="G65" i="3" l="1"/>
  <c r="H65" i="3" s="1"/>
  <c r="J65" i="3" s="1"/>
  <c r="D66" i="3" s="1"/>
  <c r="I66" i="3" l="1"/>
  <c r="K66" i="3" s="1"/>
  <c r="F66" i="3"/>
  <c r="G66" i="3" l="1"/>
  <c r="H66" i="3" s="1"/>
  <c r="J66" i="3" s="1"/>
  <c r="D67" i="3" s="1"/>
  <c r="I67" i="3" l="1"/>
  <c r="K67" i="3" s="1"/>
  <c r="F67" i="3"/>
  <c r="G67" i="3" l="1"/>
  <c r="H67" i="3" s="1"/>
  <c r="J67" i="3" s="1"/>
  <c r="D68" i="3" s="1"/>
  <c r="I68" i="3" l="1"/>
  <c r="K68" i="3" s="1"/>
  <c r="F68" i="3"/>
  <c r="G68" i="3" l="1"/>
  <c r="H68" i="3" s="1"/>
  <c r="J68" i="3" s="1"/>
  <c r="D69" i="3" s="1"/>
  <c r="I69" i="3" l="1"/>
  <c r="K69" i="3" s="1"/>
  <c r="F69" i="3"/>
  <c r="G69" i="3" l="1"/>
  <c r="H69" i="3" s="1"/>
  <c r="J69" i="3" s="1"/>
  <c r="D70" i="3" s="1"/>
  <c r="I70" i="3" l="1"/>
  <c r="K70" i="3" s="1"/>
  <c r="F70" i="3"/>
  <c r="G70" i="3" l="1"/>
  <c r="H70" i="3" s="1"/>
  <c r="J70" i="3" s="1"/>
  <c r="D71" i="3" s="1"/>
  <c r="F71" i="3" l="1"/>
  <c r="I71" i="3"/>
  <c r="K71" i="3" s="1"/>
  <c r="G71" i="3" l="1"/>
  <c r="H71" i="3" s="1"/>
  <c r="J71" i="3" s="1"/>
  <c r="D72" i="3" s="1"/>
  <c r="I72" i="3" l="1"/>
  <c r="K72" i="3" s="1"/>
  <c r="F72" i="3"/>
  <c r="G72" i="3" l="1"/>
  <c r="H72" i="3" s="1"/>
  <c r="J72" i="3" s="1"/>
  <c r="D73" i="3" s="1"/>
  <c r="I73" i="3" l="1"/>
  <c r="K73" i="3" s="1"/>
  <c r="F73" i="3"/>
  <c r="G73" i="3" l="1"/>
  <c r="H73" i="3" s="1"/>
  <c r="J73" i="3" s="1"/>
  <c r="D74" i="3" s="1"/>
  <c r="I74" i="3" l="1"/>
  <c r="K74" i="3" s="1"/>
  <c r="F74" i="3"/>
  <c r="G74" i="3" l="1"/>
  <c r="H74" i="3" s="1"/>
  <c r="J74" i="3" s="1"/>
  <c r="D75" i="3" s="1"/>
  <c r="I75" i="3" l="1"/>
  <c r="K75" i="3" s="1"/>
  <c r="F75" i="3"/>
  <c r="G75" i="3" l="1"/>
  <c r="H75" i="3" s="1"/>
  <c r="J75" i="3" s="1"/>
  <c r="D76" i="3" s="1"/>
  <c r="I76" i="3" l="1"/>
  <c r="K76" i="3" s="1"/>
  <c r="F76" i="3"/>
  <c r="G76" i="3" l="1"/>
  <c r="H76" i="3" s="1"/>
  <c r="J76" i="3" s="1"/>
  <c r="D77" i="3" s="1"/>
  <c r="I77" i="3" l="1"/>
  <c r="K77" i="3" s="1"/>
  <c r="F77" i="3"/>
  <c r="G77" i="3" l="1"/>
  <c r="H77" i="3" s="1"/>
  <c r="J77" i="3" s="1"/>
  <c r="D78" i="3" s="1"/>
  <c r="I78" i="3" l="1"/>
  <c r="K78" i="3" s="1"/>
  <c r="F78" i="3"/>
  <c r="G78" i="3" l="1"/>
  <c r="H78" i="3" s="1"/>
  <c r="J78" i="3" s="1"/>
  <c r="D79" i="3" s="1"/>
  <c r="F79" i="3" l="1"/>
  <c r="I79" i="3"/>
  <c r="K79" i="3" s="1"/>
  <c r="G79" i="3" l="1"/>
  <c r="H79" i="3" s="1"/>
  <c r="J79" i="3" s="1"/>
  <c r="D80" i="3" s="1"/>
  <c r="I80" i="3" l="1"/>
  <c r="K80" i="3" s="1"/>
  <c r="F80" i="3"/>
  <c r="G80" i="3" l="1"/>
  <c r="H80" i="3" s="1"/>
  <c r="J80" i="3" s="1"/>
  <c r="D81" i="3" s="1"/>
  <c r="F81" i="3" l="1"/>
  <c r="I81" i="3"/>
  <c r="K81" i="3" s="1"/>
  <c r="G81" i="3" l="1"/>
  <c r="H81" i="3" s="1"/>
  <c r="J81" i="3" s="1"/>
  <c r="D82" i="3" s="1"/>
  <c r="I82" i="3" l="1"/>
  <c r="K82" i="3" s="1"/>
  <c r="F82" i="3"/>
  <c r="G82" i="3" l="1"/>
  <c r="H82" i="3" s="1"/>
  <c r="J82" i="3" s="1"/>
  <c r="D83" i="3" s="1"/>
  <c r="I83" i="3" l="1"/>
  <c r="K83" i="3" s="1"/>
  <c r="F83" i="3"/>
  <c r="G83" i="3" l="1"/>
  <c r="H83" i="3" s="1"/>
  <c r="J83" i="3" s="1"/>
  <c r="D84" i="3" s="1"/>
  <c r="F84" i="3" l="1"/>
  <c r="I84" i="3"/>
  <c r="K84" i="3" s="1"/>
  <c r="G84" i="3" l="1"/>
  <c r="H84" i="3" s="1"/>
  <c r="J84" i="3" s="1"/>
  <c r="D85" i="3" s="1"/>
  <c r="I85" i="3" l="1"/>
  <c r="K85" i="3" s="1"/>
  <c r="F85" i="3"/>
  <c r="G85" i="3" l="1"/>
  <c r="H85" i="3" s="1"/>
  <c r="J85" i="3" s="1"/>
  <c r="D86" i="3" s="1"/>
  <c r="I86" i="3" l="1"/>
  <c r="K86" i="3" s="1"/>
  <c r="F86" i="3"/>
  <c r="G86" i="3" l="1"/>
  <c r="H86" i="3" s="1"/>
  <c r="J86" i="3" s="1"/>
  <c r="D87" i="3" s="1"/>
  <c r="I87" i="3" l="1"/>
  <c r="K87" i="3" s="1"/>
  <c r="F87" i="3"/>
  <c r="G87" i="3" l="1"/>
  <c r="H87" i="3" s="1"/>
  <c r="J87" i="3" s="1"/>
  <c r="D88" i="3" s="1"/>
  <c r="I88" i="3" l="1"/>
  <c r="K88" i="3" s="1"/>
  <c r="F88" i="3"/>
  <c r="G88" i="3" l="1"/>
  <c r="H88" i="3" s="1"/>
  <c r="J88" i="3" s="1"/>
  <c r="D89" i="3" s="1"/>
  <c r="I89" i="3" l="1"/>
  <c r="K89" i="3" s="1"/>
  <c r="F89" i="3"/>
  <c r="G89" i="3" l="1"/>
  <c r="H89" i="3" s="1"/>
  <c r="J89" i="3" s="1"/>
  <c r="D90" i="3" s="1"/>
  <c r="I90" i="3" l="1"/>
  <c r="K90" i="3" s="1"/>
  <c r="F90" i="3"/>
  <c r="G90" i="3" l="1"/>
  <c r="H90" i="3" s="1"/>
  <c r="J90" i="3" s="1"/>
  <c r="D91" i="3" s="1"/>
  <c r="I91" i="3" l="1"/>
  <c r="K91" i="3" s="1"/>
  <c r="F91" i="3"/>
  <c r="G91" i="3" l="1"/>
  <c r="H91" i="3" s="1"/>
  <c r="J91" i="3" s="1"/>
  <c r="D92" i="3" s="1"/>
  <c r="I92" i="3" l="1"/>
  <c r="K92" i="3" s="1"/>
  <c r="F92" i="3"/>
  <c r="G92" i="3" l="1"/>
  <c r="H92" i="3" s="1"/>
  <c r="J92" i="3" s="1"/>
  <c r="D93" i="3" s="1"/>
  <c r="F93" i="3" l="1"/>
  <c r="I93" i="3"/>
  <c r="K93" i="3" s="1"/>
  <c r="G93" i="3" l="1"/>
  <c r="H93" i="3" s="1"/>
  <c r="J93" i="3" s="1"/>
  <c r="D94" i="3" s="1"/>
  <c r="I94" i="3" l="1"/>
  <c r="K94" i="3" s="1"/>
  <c r="F94" i="3"/>
  <c r="G94" i="3" l="1"/>
  <c r="H94" i="3" s="1"/>
  <c r="J94" i="3" s="1"/>
  <c r="D95" i="3" s="1"/>
  <c r="I95" i="3" l="1"/>
  <c r="K95" i="3" s="1"/>
  <c r="F95" i="3"/>
  <c r="G95" i="3" l="1"/>
  <c r="H95" i="3" s="1"/>
  <c r="J95" i="3" s="1"/>
  <c r="D96" i="3" s="1"/>
  <c r="I96" i="3" l="1"/>
  <c r="K96" i="3" s="1"/>
  <c r="F96" i="3"/>
  <c r="G96" i="3" l="1"/>
  <c r="H96" i="3" s="1"/>
  <c r="J96" i="3" s="1"/>
  <c r="D97" i="3" s="1"/>
  <c r="I97" i="3" l="1"/>
  <c r="K97" i="3" s="1"/>
  <c r="F97" i="3"/>
  <c r="G97" i="3" l="1"/>
  <c r="H97" i="3" s="1"/>
  <c r="J97" i="3" s="1"/>
  <c r="D98" i="3" s="1"/>
  <c r="I98" i="3" l="1"/>
  <c r="K98" i="3" s="1"/>
  <c r="F98" i="3"/>
  <c r="G98" i="3" l="1"/>
  <c r="H98" i="3" s="1"/>
  <c r="J98" i="3" s="1"/>
  <c r="D99" i="3" s="1"/>
  <c r="F99" i="3" l="1"/>
  <c r="I99" i="3"/>
  <c r="K99" i="3" s="1"/>
  <c r="G99" i="3" l="1"/>
  <c r="H99" i="3" s="1"/>
  <c r="J99" i="3" s="1"/>
  <c r="D100" i="3" s="1"/>
  <c r="I100" i="3" l="1"/>
  <c r="K100" i="3" s="1"/>
  <c r="F100" i="3"/>
  <c r="G100" i="3" l="1"/>
  <c r="H100" i="3" s="1"/>
  <c r="J100" i="3" s="1"/>
  <c r="D101" i="3" s="1"/>
  <c r="I101" i="3" l="1"/>
  <c r="K101" i="3" s="1"/>
  <c r="F101" i="3"/>
  <c r="G101" i="3" l="1"/>
  <c r="H101" i="3" s="1"/>
  <c r="J101" i="3" s="1"/>
  <c r="D102" i="3" s="1"/>
  <c r="I102" i="3" l="1"/>
  <c r="K102" i="3" s="1"/>
  <c r="F102" i="3"/>
  <c r="G102" i="3" l="1"/>
  <c r="H102" i="3" s="1"/>
  <c r="J102" i="3" s="1"/>
  <c r="D103" i="3" s="1"/>
  <c r="I103" i="3" l="1"/>
  <c r="K103" i="3" s="1"/>
  <c r="F103" i="3"/>
  <c r="G103" i="3" l="1"/>
  <c r="H103" i="3" s="1"/>
  <c r="J103" i="3" s="1"/>
  <c r="D104" i="3" s="1"/>
  <c r="I104" i="3" l="1"/>
  <c r="K104" i="3" s="1"/>
  <c r="F104" i="3"/>
  <c r="G104" i="3" l="1"/>
  <c r="H104" i="3" s="1"/>
  <c r="J104" i="3" s="1"/>
  <c r="D105" i="3" s="1"/>
  <c r="F105" i="3" l="1"/>
  <c r="I105" i="3"/>
  <c r="K105" i="3" s="1"/>
  <c r="G105" i="3" l="1"/>
  <c r="H105" i="3" s="1"/>
  <c r="J105" i="3" s="1"/>
  <c r="D106" i="3" s="1"/>
  <c r="I106" i="3" l="1"/>
  <c r="K106" i="3" s="1"/>
  <c r="F106" i="3"/>
  <c r="G106" i="3" l="1"/>
  <c r="H106" i="3" s="1"/>
  <c r="J106" i="3" s="1"/>
  <c r="D107" i="3" s="1"/>
  <c r="I107" i="3" l="1"/>
  <c r="K107" i="3" s="1"/>
  <c r="F107" i="3"/>
  <c r="G107" i="3" l="1"/>
  <c r="H107" i="3" s="1"/>
  <c r="J107" i="3" s="1"/>
  <c r="D108" i="3" s="1"/>
  <c r="I108" i="3" l="1"/>
  <c r="K108" i="3" s="1"/>
  <c r="F108" i="3"/>
  <c r="G108" i="3" l="1"/>
  <c r="H108" i="3" s="1"/>
  <c r="J108" i="3" s="1"/>
  <c r="D109" i="3" s="1"/>
  <c r="I109" i="3" l="1"/>
  <c r="K109" i="3" s="1"/>
  <c r="F109" i="3"/>
  <c r="G109" i="3" l="1"/>
  <c r="H109" i="3" s="1"/>
  <c r="J109" i="3" s="1"/>
  <c r="D110" i="3" s="1"/>
  <c r="I110" i="3" l="1"/>
  <c r="K110" i="3" s="1"/>
  <c r="F110" i="3"/>
  <c r="G110" i="3" l="1"/>
  <c r="H110" i="3" s="1"/>
  <c r="J110" i="3" s="1"/>
  <c r="D111" i="3" s="1"/>
  <c r="I111" i="3" l="1"/>
  <c r="K111" i="3" s="1"/>
  <c r="F111" i="3"/>
  <c r="G111" i="3" l="1"/>
  <c r="H111" i="3" s="1"/>
  <c r="J111" i="3" s="1"/>
  <c r="D112" i="3" s="1"/>
  <c r="I112" i="3" l="1"/>
  <c r="K112" i="3" s="1"/>
  <c r="F112" i="3"/>
  <c r="G112" i="3" l="1"/>
  <c r="H112" i="3" s="1"/>
  <c r="J112" i="3" s="1"/>
  <c r="D113" i="3" s="1"/>
  <c r="I113" i="3" l="1"/>
  <c r="K113" i="3" s="1"/>
  <c r="F113" i="3"/>
  <c r="G113" i="3" l="1"/>
  <c r="H113" i="3" s="1"/>
  <c r="J113" i="3" s="1"/>
  <c r="D114" i="3" s="1"/>
  <c r="I114" i="3" l="1"/>
  <c r="K114" i="3" s="1"/>
  <c r="F114" i="3"/>
  <c r="G114" i="3" l="1"/>
  <c r="H114" i="3" s="1"/>
  <c r="J114" i="3" s="1"/>
  <c r="D115" i="3" s="1"/>
  <c r="I115" i="3" l="1"/>
  <c r="K115" i="3" s="1"/>
  <c r="F115" i="3"/>
  <c r="G115" i="3" l="1"/>
  <c r="H115" i="3" s="1"/>
  <c r="J115" i="3" s="1"/>
  <c r="D116" i="3" s="1"/>
  <c r="I116" i="3" l="1"/>
  <c r="K116" i="3" s="1"/>
  <c r="F116" i="3"/>
  <c r="G116" i="3" l="1"/>
  <c r="H116" i="3" s="1"/>
  <c r="J116" i="3" s="1"/>
  <c r="D117" i="3" s="1"/>
  <c r="I117" i="3" l="1"/>
  <c r="K117" i="3" s="1"/>
  <c r="F117" i="3"/>
  <c r="G117" i="3" l="1"/>
  <c r="H117" i="3" s="1"/>
  <c r="J117" i="3" s="1"/>
  <c r="D118" i="3" s="1"/>
  <c r="F118" i="3" l="1"/>
  <c r="I118" i="3"/>
  <c r="K118" i="3" s="1"/>
  <c r="G118" i="3" l="1"/>
  <c r="H118" i="3" s="1"/>
  <c r="J118" i="3" s="1"/>
  <c r="D119" i="3" s="1"/>
  <c r="I119" i="3" l="1"/>
  <c r="K119" i="3" s="1"/>
  <c r="F119" i="3"/>
  <c r="G119" i="3" l="1"/>
  <c r="H119" i="3" s="1"/>
  <c r="J119" i="3" s="1"/>
  <c r="D120" i="3" s="1"/>
  <c r="I120" i="3" l="1"/>
  <c r="K120" i="3" s="1"/>
  <c r="F120" i="3"/>
  <c r="G120" i="3" l="1"/>
  <c r="H120" i="3" s="1"/>
  <c r="J120" i="3" s="1"/>
  <c r="D121" i="3" s="1"/>
  <c r="I121" i="3" l="1"/>
  <c r="K121" i="3" s="1"/>
  <c r="F121" i="3"/>
  <c r="G121" i="3" l="1"/>
  <c r="H121" i="3" s="1"/>
  <c r="J121" i="3" s="1"/>
  <c r="D122" i="3" s="1"/>
  <c r="I122" i="3" l="1"/>
  <c r="K122" i="3" s="1"/>
  <c r="F122" i="3"/>
  <c r="G122" i="3" l="1"/>
  <c r="H122" i="3" s="1"/>
  <c r="J122" i="3" s="1"/>
  <c r="D123" i="3" s="1"/>
  <c r="I123" i="3" l="1"/>
  <c r="K123" i="3" s="1"/>
  <c r="F123" i="3"/>
  <c r="G123" i="3" l="1"/>
  <c r="H123" i="3" s="1"/>
  <c r="J123" i="3" s="1"/>
  <c r="D124" i="3" s="1"/>
  <c r="I124" i="3" l="1"/>
  <c r="K124" i="3" s="1"/>
  <c r="F124" i="3"/>
  <c r="G124" i="3" l="1"/>
  <c r="H124" i="3" s="1"/>
  <c r="J124" i="3" s="1"/>
  <c r="D125" i="3" s="1"/>
  <c r="F125" i="3" l="1"/>
  <c r="I125" i="3"/>
  <c r="K125" i="3" s="1"/>
  <c r="G125" i="3" l="1"/>
  <c r="H125" i="3" s="1"/>
  <c r="J125" i="3" s="1"/>
  <c r="D126" i="3" s="1"/>
  <c r="I126" i="3" l="1"/>
  <c r="K126" i="3" s="1"/>
  <c r="F126" i="3"/>
  <c r="G126" i="3" l="1"/>
  <c r="H126" i="3" s="1"/>
  <c r="J126" i="3" s="1"/>
  <c r="D127" i="3" s="1"/>
  <c r="I127" i="3" l="1"/>
  <c r="K127" i="3" s="1"/>
  <c r="F127" i="3"/>
  <c r="G127" i="3" l="1"/>
  <c r="H127" i="3" s="1"/>
  <c r="J127" i="3" s="1"/>
  <c r="D128" i="3" s="1"/>
  <c r="I128" i="3" l="1"/>
  <c r="K128" i="3" s="1"/>
  <c r="F128" i="3"/>
  <c r="G128" i="3" l="1"/>
  <c r="H128" i="3" s="1"/>
  <c r="J128" i="3" s="1"/>
  <c r="D129" i="3" s="1"/>
  <c r="I129" i="3" l="1"/>
  <c r="K129" i="3" s="1"/>
  <c r="F129" i="3"/>
  <c r="G129" i="3" l="1"/>
  <c r="H129" i="3" s="1"/>
  <c r="J129" i="3" s="1"/>
  <c r="D130" i="3" s="1"/>
  <c r="I130" i="3" l="1"/>
  <c r="K130" i="3" s="1"/>
  <c r="F130" i="3"/>
  <c r="G130" i="3" l="1"/>
  <c r="H130" i="3" s="1"/>
  <c r="J130" i="3" s="1"/>
  <c r="D131" i="3" s="1"/>
  <c r="F131" i="3" l="1"/>
  <c r="I131" i="3"/>
  <c r="K131" i="3" s="1"/>
  <c r="G131" i="3" l="1"/>
  <c r="H131" i="3" s="1"/>
  <c r="J131" i="3" s="1"/>
  <c r="D132" i="3" s="1"/>
  <c r="F132" i="3" l="1"/>
  <c r="I132" i="3"/>
  <c r="K132" i="3" s="1"/>
  <c r="G132" i="3" l="1"/>
  <c r="H132" i="3" s="1"/>
  <c r="J132" i="3" s="1"/>
  <c r="D133" i="3" s="1"/>
  <c r="F133" i="3" l="1"/>
  <c r="I133" i="3"/>
  <c r="K133" i="3" s="1"/>
  <c r="G133" i="3" l="1"/>
  <c r="H133" i="3" s="1"/>
  <c r="J133" i="3" s="1"/>
  <c r="D134" i="3" s="1"/>
  <c r="F134" i="3" l="1"/>
  <c r="I134" i="3"/>
  <c r="K134" i="3" s="1"/>
  <c r="G134" i="3" l="1"/>
  <c r="H134" i="3" s="1"/>
  <c r="J134" i="3" s="1"/>
  <c r="D135" i="3" s="1"/>
  <c r="I135" i="3" l="1"/>
  <c r="K135" i="3" s="1"/>
  <c r="F135" i="3"/>
  <c r="G135" i="3" l="1"/>
  <c r="H135" i="3" s="1"/>
  <c r="J135" i="3" s="1"/>
  <c r="D136" i="3" s="1"/>
  <c r="I136" i="3" l="1"/>
  <c r="K136" i="3" s="1"/>
  <c r="F136" i="3"/>
  <c r="G136" i="3" l="1"/>
  <c r="H136" i="3" s="1"/>
  <c r="J136" i="3" s="1"/>
  <c r="D137" i="3" s="1"/>
  <c r="F137" i="3" l="1"/>
  <c r="I137" i="3"/>
  <c r="K137" i="3" s="1"/>
  <c r="G137" i="3" l="1"/>
  <c r="H137" i="3" s="1"/>
  <c r="J137" i="3" s="1"/>
  <c r="D138" i="3" s="1"/>
  <c r="I138" i="3" l="1"/>
  <c r="K138" i="3" s="1"/>
  <c r="F138" i="3"/>
  <c r="G138" i="3" l="1"/>
  <c r="H138" i="3" s="1"/>
  <c r="J138" i="3" s="1"/>
  <c r="D139" i="3" s="1"/>
  <c r="I139" i="3" l="1"/>
  <c r="K139" i="3" s="1"/>
  <c r="F139" i="3"/>
  <c r="G139" i="3" l="1"/>
  <c r="H139" i="3" s="1"/>
  <c r="J139" i="3" s="1"/>
  <c r="D140" i="3" s="1"/>
  <c r="I140" i="3" l="1"/>
  <c r="K140" i="3" s="1"/>
  <c r="F140" i="3"/>
  <c r="G140" i="3" l="1"/>
  <c r="H140" i="3" s="1"/>
  <c r="J140" i="3" s="1"/>
  <c r="D141" i="3" s="1"/>
  <c r="I141" i="3" l="1"/>
  <c r="K141" i="3" s="1"/>
  <c r="F141" i="3"/>
  <c r="G141" i="3" l="1"/>
  <c r="H141" i="3" s="1"/>
  <c r="J141" i="3" s="1"/>
  <c r="D142" i="3" s="1"/>
  <c r="I142" i="3" l="1"/>
  <c r="K142" i="3" s="1"/>
  <c r="F142" i="3"/>
  <c r="G142" i="3" l="1"/>
  <c r="H142" i="3" s="1"/>
  <c r="J142" i="3" s="1"/>
  <c r="D143" i="3" s="1"/>
  <c r="F143" i="3" l="1"/>
  <c r="I143" i="3"/>
  <c r="K143" i="3" s="1"/>
  <c r="G143" i="3" l="1"/>
  <c r="H143" i="3" s="1"/>
  <c r="J143" i="3" s="1"/>
  <c r="D144" i="3" s="1"/>
  <c r="I144" i="3" l="1"/>
  <c r="K144" i="3" s="1"/>
  <c r="F144" i="3"/>
  <c r="G144" i="3" l="1"/>
  <c r="H144" i="3" s="1"/>
  <c r="J144" i="3" s="1"/>
  <c r="D145" i="3" s="1"/>
  <c r="I145" i="3" l="1"/>
  <c r="K145" i="3" s="1"/>
  <c r="F145" i="3"/>
  <c r="G145" i="3" l="1"/>
  <c r="H145" i="3" s="1"/>
  <c r="J145" i="3" s="1"/>
  <c r="D146" i="3" s="1"/>
  <c r="I146" i="3" l="1"/>
  <c r="K146" i="3" s="1"/>
  <c r="F146" i="3"/>
  <c r="G146" i="3" l="1"/>
  <c r="H146" i="3" s="1"/>
  <c r="J146" i="3" s="1"/>
  <c r="D147" i="3" s="1"/>
  <c r="I147" i="3" l="1"/>
  <c r="K147" i="3" s="1"/>
  <c r="F147" i="3"/>
  <c r="G147" i="3" l="1"/>
  <c r="H147" i="3" s="1"/>
  <c r="J147" i="3" s="1"/>
  <c r="D148" i="3" s="1"/>
  <c r="I148" i="3" l="1"/>
  <c r="K148" i="3" s="1"/>
  <c r="F148" i="3"/>
  <c r="G148" i="3" l="1"/>
  <c r="H148" i="3" s="1"/>
  <c r="J148" i="3" s="1"/>
  <c r="D149" i="3" s="1"/>
  <c r="I149" i="3" l="1"/>
  <c r="K149" i="3" s="1"/>
  <c r="F149" i="3"/>
  <c r="G149" i="3" l="1"/>
  <c r="H149" i="3" s="1"/>
  <c r="J149" i="3" s="1"/>
  <c r="D150" i="3" s="1"/>
  <c r="I150" i="3" l="1"/>
  <c r="K150" i="3" s="1"/>
  <c r="F150" i="3"/>
  <c r="G150" i="3" l="1"/>
  <c r="H150" i="3" s="1"/>
  <c r="J150" i="3" s="1"/>
  <c r="D151" i="3" s="1"/>
  <c r="I151" i="3" l="1"/>
  <c r="K151" i="3" s="1"/>
  <c r="F151" i="3"/>
  <c r="G151" i="3" l="1"/>
  <c r="H151" i="3" s="1"/>
  <c r="J151" i="3" s="1"/>
  <c r="D152" i="3" s="1"/>
  <c r="I152" i="3" l="1"/>
  <c r="K152" i="3" s="1"/>
  <c r="F152" i="3"/>
  <c r="G152" i="3" l="1"/>
  <c r="H152" i="3" s="1"/>
  <c r="J152" i="3" s="1"/>
  <c r="D153" i="3" s="1"/>
  <c r="F153" i="3" l="1"/>
  <c r="I153" i="3"/>
  <c r="K153" i="3" s="1"/>
  <c r="G153" i="3" l="1"/>
  <c r="H153" i="3" s="1"/>
  <c r="J153" i="3" s="1"/>
  <c r="D154" i="3" s="1"/>
  <c r="I154" i="3" l="1"/>
  <c r="K154" i="3" s="1"/>
  <c r="F154" i="3"/>
  <c r="G154" i="3" l="1"/>
  <c r="H154" i="3" s="1"/>
  <c r="J154" i="3" s="1"/>
  <c r="D155" i="3" s="1"/>
  <c r="I155" i="3" l="1"/>
  <c r="K155" i="3" s="1"/>
  <c r="F155" i="3"/>
  <c r="G155" i="3" l="1"/>
  <c r="H155" i="3" s="1"/>
  <c r="J155" i="3" s="1"/>
  <c r="D156" i="3" s="1"/>
  <c r="I156" i="3" l="1"/>
  <c r="K156" i="3" s="1"/>
  <c r="F156" i="3"/>
  <c r="G156" i="3" l="1"/>
  <c r="H156" i="3" s="1"/>
  <c r="J156" i="3" s="1"/>
  <c r="D157" i="3" s="1"/>
  <c r="F157" i="3" l="1"/>
  <c r="I157" i="3"/>
  <c r="K157" i="3" s="1"/>
  <c r="G157" i="3" l="1"/>
  <c r="H157" i="3" s="1"/>
  <c r="J157" i="3" s="1"/>
  <c r="D158" i="3" s="1"/>
  <c r="I158" i="3" l="1"/>
  <c r="K158" i="3" s="1"/>
  <c r="F158" i="3"/>
  <c r="G158" i="3" l="1"/>
  <c r="H158" i="3" s="1"/>
  <c r="J158" i="3" s="1"/>
  <c r="D159" i="3" s="1"/>
  <c r="I159" i="3" l="1"/>
  <c r="K159" i="3" s="1"/>
  <c r="F159" i="3"/>
  <c r="G159" i="3" l="1"/>
  <c r="H159" i="3" s="1"/>
  <c r="J159" i="3" s="1"/>
  <c r="D160" i="3" s="1"/>
  <c r="I160" i="3" l="1"/>
  <c r="K160" i="3" s="1"/>
  <c r="F160" i="3"/>
  <c r="G160" i="3" l="1"/>
  <c r="H160" i="3" s="1"/>
  <c r="J160" i="3" s="1"/>
  <c r="D161" i="3" s="1"/>
  <c r="I161" i="3" l="1"/>
  <c r="K161" i="3" s="1"/>
  <c r="F161" i="3"/>
  <c r="G161" i="3" l="1"/>
  <c r="H161" i="3" s="1"/>
  <c r="J161" i="3" s="1"/>
  <c r="D162" i="3" s="1"/>
  <c r="F162" i="3" l="1"/>
  <c r="I162" i="3"/>
  <c r="K162" i="3" s="1"/>
  <c r="G162" i="3" l="1"/>
  <c r="H162" i="3" s="1"/>
  <c r="J162" i="3" s="1"/>
  <c r="D163" i="3" s="1"/>
  <c r="I163" i="3" l="1"/>
  <c r="K163" i="3" s="1"/>
  <c r="F163" i="3"/>
  <c r="G163" i="3" l="1"/>
  <c r="H163" i="3" s="1"/>
  <c r="J163" i="3" s="1"/>
  <c r="D164" i="3" s="1"/>
  <c r="I164" i="3" l="1"/>
  <c r="K164" i="3" s="1"/>
  <c r="F164" i="3"/>
  <c r="G164" i="3" l="1"/>
  <c r="H164" i="3" s="1"/>
  <c r="J164" i="3" s="1"/>
  <c r="D165" i="3" s="1"/>
  <c r="I165" i="3" l="1"/>
  <c r="K165" i="3" s="1"/>
  <c r="F165" i="3"/>
  <c r="G165" i="3" l="1"/>
  <c r="H165" i="3" s="1"/>
  <c r="J165" i="3" s="1"/>
  <c r="D166" i="3" s="1"/>
  <c r="I166" i="3" l="1"/>
  <c r="K166" i="3" s="1"/>
  <c r="F166" i="3"/>
  <c r="G166" i="3" l="1"/>
  <c r="H166" i="3" s="1"/>
  <c r="J166" i="3" s="1"/>
  <c r="D167" i="3" s="1"/>
  <c r="I167" i="3" l="1"/>
  <c r="K167" i="3" s="1"/>
  <c r="F167" i="3"/>
  <c r="G167" i="3" l="1"/>
  <c r="H167" i="3" s="1"/>
  <c r="J167" i="3" s="1"/>
  <c r="D168" i="3" s="1"/>
  <c r="I168" i="3" l="1"/>
  <c r="K168" i="3" s="1"/>
  <c r="F168" i="3"/>
  <c r="G168" i="3" l="1"/>
  <c r="H168" i="3" s="1"/>
  <c r="J168" i="3" s="1"/>
  <c r="D169" i="3" s="1"/>
  <c r="I169" i="3" l="1"/>
  <c r="K169" i="3" s="1"/>
  <c r="F169" i="3"/>
  <c r="G169" i="3" l="1"/>
  <c r="H169" i="3" s="1"/>
  <c r="J169" i="3" s="1"/>
  <c r="D170" i="3" s="1"/>
  <c r="I170" i="3" l="1"/>
  <c r="K170" i="3" s="1"/>
  <c r="F170" i="3"/>
  <c r="G170" i="3" l="1"/>
  <c r="H170" i="3" s="1"/>
  <c r="J170" i="3" s="1"/>
  <c r="D171" i="3" s="1"/>
  <c r="I171" i="3" l="1"/>
  <c r="K171" i="3" s="1"/>
  <c r="F171" i="3"/>
  <c r="G171" i="3" l="1"/>
  <c r="H171" i="3" s="1"/>
  <c r="J171" i="3" s="1"/>
  <c r="D172" i="3" s="1"/>
  <c r="I172" i="3" l="1"/>
  <c r="K172" i="3" s="1"/>
  <c r="F172" i="3"/>
  <c r="G172" i="3" l="1"/>
  <c r="H172" i="3" s="1"/>
  <c r="J172" i="3" s="1"/>
  <c r="D173" i="3" s="1"/>
  <c r="I173" i="3" l="1"/>
  <c r="K173" i="3" s="1"/>
  <c r="F173" i="3"/>
  <c r="G173" i="3" l="1"/>
  <c r="H173" i="3" s="1"/>
  <c r="J173" i="3" s="1"/>
  <c r="D174" i="3" s="1"/>
  <c r="F174" i="3" l="1"/>
  <c r="I174" i="3"/>
  <c r="K174" i="3" s="1"/>
  <c r="G174" i="3" l="1"/>
  <c r="H174" i="3" s="1"/>
  <c r="J174" i="3" s="1"/>
  <c r="D175" i="3" s="1"/>
  <c r="I175" i="3" l="1"/>
  <c r="K175" i="3" s="1"/>
  <c r="F175" i="3"/>
  <c r="G175" i="3" l="1"/>
  <c r="H175" i="3" s="1"/>
  <c r="J175" i="3" s="1"/>
  <c r="D176" i="3" s="1"/>
  <c r="I176" i="3" l="1"/>
  <c r="K176" i="3" s="1"/>
  <c r="F176" i="3"/>
  <c r="G176" i="3" l="1"/>
  <c r="H176" i="3" s="1"/>
  <c r="J176" i="3" s="1"/>
  <c r="D177" i="3" s="1"/>
  <c r="I177" i="3" l="1"/>
  <c r="K177" i="3" s="1"/>
  <c r="F177" i="3"/>
  <c r="G177" i="3" l="1"/>
  <c r="H177" i="3" s="1"/>
  <c r="J177" i="3" s="1"/>
  <c r="D178" i="3" s="1"/>
  <c r="I178" i="3" l="1"/>
  <c r="K178" i="3" s="1"/>
  <c r="F178" i="3"/>
  <c r="G178" i="3" l="1"/>
  <c r="H178" i="3" s="1"/>
  <c r="J178" i="3" s="1"/>
  <c r="D179" i="3" s="1"/>
  <c r="I179" i="3" l="1"/>
  <c r="K179" i="3" s="1"/>
  <c r="F179" i="3"/>
  <c r="G179" i="3" l="1"/>
  <c r="H179" i="3" s="1"/>
  <c r="J179" i="3" s="1"/>
  <c r="D180" i="3" s="1"/>
  <c r="I180" i="3" l="1"/>
  <c r="K180" i="3" s="1"/>
  <c r="F180" i="3"/>
  <c r="G180" i="3" l="1"/>
  <c r="H180" i="3" s="1"/>
  <c r="J180" i="3" s="1"/>
  <c r="D181" i="3" s="1"/>
  <c r="I181" i="3" l="1"/>
  <c r="K181" i="3" s="1"/>
  <c r="F181" i="3"/>
  <c r="G181" i="3" l="1"/>
  <c r="H181" i="3" s="1"/>
  <c r="J181" i="3" s="1"/>
  <c r="D182" i="3" s="1"/>
  <c r="I182" i="3" l="1"/>
  <c r="K182" i="3" s="1"/>
  <c r="F182" i="3"/>
  <c r="G182" i="3" l="1"/>
  <c r="H182" i="3" s="1"/>
  <c r="J182" i="3" s="1"/>
  <c r="D183" i="3" s="1"/>
  <c r="I183" i="3" l="1"/>
  <c r="K183" i="3" s="1"/>
  <c r="F183" i="3"/>
  <c r="G183" i="3" l="1"/>
  <c r="H183" i="3" s="1"/>
  <c r="J183" i="3" s="1"/>
  <c r="D184" i="3" s="1"/>
  <c r="I184" i="3" l="1"/>
  <c r="K184" i="3" s="1"/>
  <c r="F184" i="3"/>
  <c r="G184" i="3" l="1"/>
  <c r="H184" i="3" s="1"/>
  <c r="J184" i="3" s="1"/>
  <c r="D185" i="3" s="1"/>
  <c r="F185" i="3" l="1"/>
  <c r="I185" i="3"/>
  <c r="K185" i="3" s="1"/>
  <c r="G185" i="3" l="1"/>
  <c r="H185" i="3" s="1"/>
  <c r="J185" i="3" s="1"/>
  <c r="D186" i="3" s="1"/>
  <c r="F186" i="3" l="1"/>
  <c r="I186" i="3"/>
  <c r="K186" i="3" s="1"/>
  <c r="G186" i="3" l="1"/>
  <c r="H186" i="3" s="1"/>
  <c r="J186" i="3" s="1"/>
  <c r="D187" i="3" s="1"/>
  <c r="I187" i="3" l="1"/>
  <c r="K187" i="3" s="1"/>
  <c r="F187" i="3"/>
  <c r="G187" i="3" l="1"/>
  <c r="H187" i="3" s="1"/>
  <c r="J187" i="3" s="1"/>
  <c r="D188" i="3" s="1"/>
  <c r="I188" i="3" l="1"/>
  <c r="K188" i="3" s="1"/>
  <c r="F188" i="3"/>
  <c r="G188" i="3" l="1"/>
  <c r="H188" i="3" s="1"/>
  <c r="J188" i="3" s="1"/>
  <c r="D189" i="3" s="1"/>
  <c r="I189" i="3" l="1"/>
  <c r="K189" i="3" s="1"/>
  <c r="F189" i="3"/>
  <c r="G189" i="3" l="1"/>
  <c r="H189" i="3" s="1"/>
  <c r="J189" i="3" s="1"/>
  <c r="D190" i="3" s="1"/>
  <c r="F190" i="3" l="1"/>
  <c r="I190" i="3"/>
  <c r="K190" i="3" s="1"/>
  <c r="G190" i="3" l="1"/>
  <c r="H190" i="3" s="1"/>
  <c r="J190" i="3" s="1"/>
  <c r="D191" i="3" s="1"/>
  <c r="I191" i="3" l="1"/>
  <c r="K191" i="3" s="1"/>
  <c r="F191" i="3"/>
  <c r="G191" i="3" l="1"/>
  <c r="H191" i="3" s="1"/>
  <c r="J191" i="3" s="1"/>
  <c r="D192" i="3" s="1"/>
  <c r="F192" i="3" l="1"/>
  <c r="I192" i="3"/>
  <c r="K192" i="3" s="1"/>
  <c r="G192" i="3" l="1"/>
  <c r="H192" i="3" s="1"/>
  <c r="J192" i="3" s="1"/>
  <c r="D193" i="3" s="1"/>
  <c r="I193" i="3" l="1"/>
  <c r="K193" i="3" s="1"/>
  <c r="F193" i="3"/>
  <c r="G193" i="3" l="1"/>
  <c r="H193" i="3" s="1"/>
  <c r="J193" i="3" s="1"/>
  <c r="D194" i="3" s="1"/>
  <c r="I194" i="3" l="1"/>
  <c r="K194" i="3" s="1"/>
  <c r="F194" i="3"/>
  <c r="G194" i="3" l="1"/>
  <c r="H194" i="3" s="1"/>
  <c r="J194" i="3" s="1"/>
  <c r="D195" i="3" s="1"/>
  <c r="I195" i="3" l="1"/>
  <c r="K195" i="3" s="1"/>
  <c r="F195" i="3"/>
  <c r="G195" i="3" l="1"/>
  <c r="H195" i="3" s="1"/>
  <c r="J195" i="3" s="1"/>
  <c r="D196" i="3" s="1"/>
  <c r="F196" i="3" l="1"/>
  <c r="I196" i="3"/>
  <c r="K196" i="3" s="1"/>
  <c r="G196" i="3" l="1"/>
  <c r="H196" i="3" s="1"/>
  <c r="J196" i="3" s="1"/>
  <c r="D197" i="3" s="1"/>
  <c r="I197" i="3" l="1"/>
  <c r="K197" i="3" s="1"/>
  <c r="F197" i="3"/>
  <c r="G197" i="3" l="1"/>
  <c r="H197" i="3" s="1"/>
  <c r="J197" i="3" s="1"/>
  <c r="D198" i="3" s="1"/>
  <c r="I198" i="3" l="1"/>
  <c r="K198" i="3" s="1"/>
  <c r="F198" i="3"/>
  <c r="G198" i="3" l="1"/>
  <c r="H198" i="3" s="1"/>
  <c r="J198" i="3" s="1"/>
  <c r="D199" i="3" s="1"/>
  <c r="I199" i="3" l="1"/>
  <c r="K199" i="3" s="1"/>
  <c r="F199" i="3"/>
  <c r="G199" i="3" l="1"/>
  <c r="H199" i="3" s="1"/>
  <c r="J199" i="3" s="1"/>
  <c r="D200" i="3" s="1"/>
  <c r="I200" i="3" l="1"/>
  <c r="K200" i="3" s="1"/>
  <c r="F200" i="3"/>
  <c r="G200" i="3" l="1"/>
  <c r="H200" i="3" s="1"/>
  <c r="J200" i="3" s="1"/>
  <c r="D201" i="3" s="1"/>
  <c r="I201" i="3" l="1"/>
  <c r="K201" i="3" s="1"/>
  <c r="F201" i="3"/>
  <c r="G201" i="3" l="1"/>
  <c r="H201" i="3" s="1"/>
  <c r="J201" i="3" s="1"/>
  <c r="D202" i="3" s="1"/>
  <c r="F202" i="3" l="1"/>
  <c r="I202" i="3"/>
  <c r="K202" i="3" s="1"/>
  <c r="G202" i="3" l="1"/>
  <c r="H202" i="3" s="1"/>
  <c r="J202" i="3" s="1"/>
  <c r="D203" i="3" s="1"/>
  <c r="F203" i="3" l="1"/>
  <c r="I203" i="3"/>
  <c r="K203" i="3" s="1"/>
  <c r="G203" i="3" l="1"/>
  <c r="H203" i="3" s="1"/>
  <c r="J203" i="3" s="1"/>
  <c r="D204" i="3" s="1"/>
  <c r="I204" i="3" l="1"/>
  <c r="K204" i="3" s="1"/>
  <c r="F204" i="3"/>
  <c r="G204" i="3" l="1"/>
  <c r="H204" i="3" s="1"/>
  <c r="J204" i="3" s="1"/>
  <c r="D205" i="3" s="1"/>
  <c r="I205" i="3" l="1"/>
  <c r="K205" i="3" s="1"/>
  <c r="F205" i="3"/>
  <c r="G205" i="3" l="1"/>
  <c r="H205" i="3" s="1"/>
  <c r="J205" i="3" s="1"/>
  <c r="D206" i="3" s="1"/>
  <c r="I206" i="3" l="1"/>
  <c r="K206" i="3" s="1"/>
  <c r="F206" i="3"/>
  <c r="G206" i="3" l="1"/>
  <c r="H206" i="3" s="1"/>
  <c r="J206" i="3" s="1"/>
  <c r="D207" i="3" s="1"/>
  <c r="I207" i="3" l="1"/>
  <c r="K207" i="3" s="1"/>
  <c r="F207" i="3"/>
  <c r="G207" i="3" l="1"/>
  <c r="H207" i="3" s="1"/>
  <c r="J207" i="3" s="1"/>
  <c r="D208" i="3" s="1"/>
  <c r="I208" i="3" l="1"/>
  <c r="K208" i="3" s="1"/>
  <c r="F208" i="3"/>
  <c r="G208" i="3" l="1"/>
  <c r="H208" i="3" s="1"/>
  <c r="J208" i="3" s="1"/>
  <c r="D209" i="3" s="1"/>
  <c r="I209" i="3" l="1"/>
  <c r="K209" i="3" s="1"/>
  <c r="F209" i="3"/>
  <c r="G209" i="3" l="1"/>
  <c r="H209" i="3" s="1"/>
  <c r="J209" i="3" s="1"/>
  <c r="D210" i="3" s="1"/>
  <c r="I210" i="3" l="1"/>
  <c r="K210" i="3" s="1"/>
  <c r="F210" i="3"/>
  <c r="G210" i="3" l="1"/>
  <c r="H210" i="3" s="1"/>
  <c r="J210" i="3" s="1"/>
  <c r="D211" i="3" s="1"/>
  <c r="F211" i="3" l="1"/>
  <c r="I211" i="3"/>
  <c r="K211" i="3" s="1"/>
  <c r="G211" i="3" l="1"/>
  <c r="H211" i="3" s="1"/>
  <c r="J211" i="3" s="1"/>
  <c r="D212" i="3" s="1"/>
  <c r="I212" i="3" l="1"/>
  <c r="K212" i="3" s="1"/>
  <c r="F212" i="3"/>
  <c r="G212" i="3" l="1"/>
  <c r="H212" i="3" s="1"/>
  <c r="J212" i="3" s="1"/>
  <c r="D213" i="3" s="1"/>
  <c r="I213" i="3" l="1"/>
  <c r="K213" i="3" s="1"/>
  <c r="F213" i="3"/>
  <c r="G213" i="3" l="1"/>
  <c r="H213" i="3" s="1"/>
  <c r="J213" i="3" s="1"/>
  <c r="D214" i="3" s="1"/>
  <c r="I214" i="3" l="1"/>
  <c r="K214" i="3" s="1"/>
  <c r="F214" i="3"/>
  <c r="G214" i="3" l="1"/>
  <c r="H214" i="3" s="1"/>
  <c r="J214" i="3" s="1"/>
  <c r="D215" i="3" s="1"/>
  <c r="F215" i="3" l="1"/>
  <c r="I215" i="3"/>
  <c r="K215" i="3" s="1"/>
  <c r="G215" i="3" l="1"/>
  <c r="H215" i="3" s="1"/>
  <c r="J215" i="3" s="1"/>
  <c r="D216" i="3" s="1"/>
  <c r="F216" i="3" l="1"/>
  <c r="I216" i="3"/>
  <c r="K216" i="3" s="1"/>
  <c r="G216" i="3" l="1"/>
  <c r="H216" i="3" s="1"/>
  <c r="J216" i="3" s="1"/>
  <c r="D217" i="3" s="1"/>
  <c r="I217" i="3" l="1"/>
  <c r="K217" i="3" s="1"/>
  <c r="F217" i="3"/>
  <c r="G217" i="3" l="1"/>
  <c r="H217" i="3" s="1"/>
  <c r="J217" i="3" s="1"/>
  <c r="D218" i="3" s="1"/>
  <c r="I218" i="3" l="1"/>
  <c r="K218" i="3" s="1"/>
  <c r="F218" i="3"/>
  <c r="G218" i="3" l="1"/>
  <c r="H218" i="3" s="1"/>
  <c r="J218" i="3" s="1"/>
  <c r="D219" i="3" s="1"/>
  <c r="I219" i="3" l="1"/>
  <c r="K219" i="3" s="1"/>
  <c r="F219" i="3"/>
  <c r="G219" i="3" l="1"/>
  <c r="H219" i="3" s="1"/>
  <c r="J219" i="3" s="1"/>
  <c r="D220" i="3" s="1"/>
  <c r="I220" i="3" l="1"/>
  <c r="K220" i="3" s="1"/>
  <c r="F220" i="3"/>
  <c r="G220" i="3" l="1"/>
  <c r="H220" i="3" s="1"/>
  <c r="J220" i="3" s="1"/>
  <c r="D221" i="3" s="1"/>
  <c r="F221" i="3" l="1"/>
  <c r="I221" i="3"/>
  <c r="K221" i="3" s="1"/>
  <c r="G221" i="3" l="1"/>
  <c r="H221" i="3" s="1"/>
  <c r="J221" i="3" s="1"/>
  <c r="D222" i="3" s="1"/>
  <c r="I222" i="3" l="1"/>
  <c r="K222" i="3" s="1"/>
  <c r="F222" i="3"/>
  <c r="G222" i="3" l="1"/>
  <c r="H222" i="3" s="1"/>
  <c r="J222" i="3" s="1"/>
  <c r="D223" i="3" s="1"/>
  <c r="I223" i="3" l="1"/>
  <c r="K223" i="3" s="1"/>
  <c r="F223" i="3"/>
  <c r="G223" i="3" l="1"/>
  <c r="H223" i="3" s="1"/>
  <c r="J223" i="3" s="1"/>
  <c r="D224" i="3" s="1"/>
  <c r="I224" i="3" l="1"/>
  <c r="K224" i="3" s="1"/>
  <c r="F224" i="3"/>
  <c r="G224" i="3" l="1"/>
  <c r="H224" i="3" s="1"/>
  <c r="J224" i="3" s="1"/>
  <c r="D225" i="3" s="1"/>
  <c r="F225" i="3" l="1"/>
  <c r="I225" i="3"/>
  <c r="K225" i="3" s="1"/>
  <c r="G225" i="3" l="1"/>
  <c r="H225" i="3" s="1"/>
  <c r="J225" i="3" s="1"/>
  <c r="D226" i="3" s="1"/>
  <c r="I226" i="3" l="1"/>
  <c r="K226" i="3" s="1"/>
  <c r="F226" i="3"/>
  <c r="G226" i="3" l="1"/>
  <c r="H226" i="3" s="1"/>
  <c r="J226" i="3" s="1"/>
  <c r="D227" i="3" s="1"/>
  <c r="F227" i="3" l="1"/>
  <c r="I227" i="3"/>
  <c r="K227" i="3" s="1"/>
  <c r="G227" i="3" l="1"/>
  <c r="H227" i="3" s="1"/>
  <c r="J227" i="3" s="1"/>
  <c r="D228" i="3" s="1"/>
  <c r="I228" i="3" l="1"/>
  <c r="K228" i="3" s="1"/>
  <c r="F228" i="3"/>
  <c r="G228" i="3" l="1"/>
  <c r="H228" i="3" s="1"/>
  <c r="J228" i="3" s="1"/>
  <c r="D229" i="3" s="1"/>
  <c r="I229" i="3" l="1"/>
  <c r="K229" i="3" s="1"/>
  <c r="F229" i="3"/>
  <c r="G229" i="3" l="1"/>
  <c r="H229" i="3" s="1"/>
  <c r="J229" i="3" s="1"/>
  <c r="D230" i="3" s="1"/>
  <c r="I230" i="3" l="1"/>
  <c r="K230" i="3" s="1"/>
  <c r="F230" i="3"/>
  <c r="G230" i="3" l="1"/>
  <c r="H230" i="3" s="1"/>
  <c r="J230" i="3" s="1"/>
  <c r="D231" i="3" s="1"/>
  <c r="I231" i="3" l="1"/>
  <c r="K231" i="3" s="1"/>
  <c r="F231" i="3"/>
  <c r="G231" i="3" l="1"/>
  <c r="H231" i="3" s="1"/>
  <c r="J231" i="3" s="1"/>
  <c r="D232" i="3" s="1"/>
  <c r="F232" i="3" l="1"/>
  <c r="I232" i="3"/>
  <c r="K232" i="3" s="1"/>
  <c r="G232" i="3" l="1"/>
  <c r="H232" i="3" s="1"/>
  <c r="J232" i="3" s="1"/>
  <c r="D233" i="3" s="1"/>
  <c r="I233" i="3" l="1"/>
  <c r="K233" i="3" s="1"/>
  <c r="F233" i="3"/>
  <c r="G233" i="3" l="1"/>
  <c r="H233" i="3" s="1"/>
  <c r="J233" i="3" s="1"/>
  <c r="D234" i="3" s="1"/>
  <c r="I234" i="3" l="1"/>
  <c r="K234" i="3" s="1"/>
  <c r="F234" i="3"/>
  <c r="G234" i="3" l="1"/>
  <c r="H234" i="3" s="1"/>
  <c r="J234" i="3" s="1"/>
  <c r="D235" i="3" s="1"/>
  <c r="F235" i="3" l="1"/>
  <c r="I235" i="3"/>
  <c r="K235" i="3" s="1"/>
  <c r="G235" i="3" l="1"/>
  <c r="H235" i="3" s="1"/>
  <c r="J235" i="3" s="1"/>
  <c r="D236" i="3" s="1"/>
  <c r="I236" i="3" l="1"/>
  <c r="K236" i="3" s="1"/>
  <c r="F236" i="3"/>
  <c r="G236" i="3" l="1"/>
  <c r="H236" i="3" s="1"/>
  <c r="J236" i="3" s="1"/>
  <c r="D237" i="3" s="1"/>
  <c r="I237" i="3" l="1"/>
  <c r="K237" i="3" s="1"/>
  <c r="F237" i="3"/>
  <c r="G237" i="3" l="1"/>
  <c r="H237" i="3" s="1"/>
  <c r="J237" i="3" s="1"/>
  <c r="D238" i="3" s="1"/>
  <c r="I238" i="3" l="1"/>
  <c r="K238" i="3" s="1"/>
  <c r="F238" i="3"/>
  <c r="G238" i="3" l="1"/>
  <c r="H238" i="3" s="1"/>
  <c r="J238" i="3" s="1"/>
  <c r="D239" i="3" s="1"/>
  <c r="F239" i="3" l="1"/>
  <c r="I239" i="3"/>
  <c r="K239" i="3" s="1"/>
  <c r="G239" i="3" l="1"/>
  <c r="H239" i="3" s="1"/>
  <c r="J239" i="3" s="1"/>
  <c r="D240" i="3" s="1"/>
  <c r="I240" i="3" l="1"/>
  <c r="K240" i="3" s="1"/>
  <c r="F240" i="3"/>
  <c r="G240" i="3" l="1"/>
  <c r="H240" i="3" s="1"/>
  <c r="J240" i="3" s="1"/>
  <c r="D241" i="3" s="1"/>
  <c r="I241" i="3" l="1"/>
  <c r="K241" i="3" s="1"/>
  <c r="F241" i="3"/>
  <c r="G241" i="3" l="1"/>
  <c r="H241" i="3" s="1"/>
  <c r="J241" i="3" s="1"/>
  <c r="D242" i="3" s="1"/>
  <c r="I242" i="3" l="1"/>
  <c r="K242" i="3" s="1"/>
  <c r="F242" i="3"/>
  <c r="G242" i="3" l="1"/>
  <c r="H242" i="3" s="1"/>
  <c r="J242" i="3" s="1"/>
  <c r="D243" i="3" s="1"/>
  <c r="I243" i="3" l="1"/>
  <c r="K243" i="3" s="1"/>
  <c r="F243" i="3"/>
  <c r="G243" i="3" l="1"/>
  <c r="H243" i="3" s="1"/>
  <c r="J243" i="3" s="1"/>
  <c r="D244" i="3" s="1"/>
  <c r="I244" i="3" l="1"/>
  <c r="K244" i="3" s="1"/>
  <c r="F244" i="3"/>
  <c r="G244" i="3" l="1"/>
  <c r="H244" i="3" s="1"/>
  <c r="J244" i="3" s="1"/>
  <c r="D245" i="3" s="1"/>
  <c r="F245" i="3" l="1"/>
  <c r="I245" i="3"/>
  <c r="K245" i="3" s="1"/>
  <c r="G245" i="3" l="1"/>
  <c r="H245" i="3" s="1"/>
  <c r="J245" i="3" s="1"/>
  <c r="D246" i="3" s="1"/>
  <c r="I246" i="3" l="1"/>
  <c r="K246" i="3" s="1"/>
  <c r="F246" i="3"/>
  <c r="G246" i="3" l="1"/>
  <c r="H246" i="3" s="1"/>
  <c r="J246" i="3" s="1"/>
  <c r="D247" i="3" s="1"/>
  <c r="I247" i="3" l="1"/>
  <c r="K247" i="3" s="1"/>
  <c r="F247" i="3"/>
  <c r="G247" i="3" l="1"/>
  <c r="H247" i="3" s="1"/>
  <c r="J247" i="3" s="1"/>
  <c r="D248" i="3" s="1"/>
  <c r="I248" i="3" l="1"/>
  <c r="K248" i="3" s="1"/>
  <c r="F248" i="3"/>
  <c r="G248" i="3" l="1"/>
  <c r="H248" i="3" s="1"/>
  <c r="J248" i="3" s="1"/>
  <c r="D249" i="3" s="1"/>
  <c r="I249" i="3" l="1"/>
  <c r="K249" i="3" s="1"/>
  <c r="F249" i="3"/>
  <c r="G249" i="3" l="1"/>
  <c r="H249" i="3" s="1"/>
  <c r="J249" i="3" s="1"/>
  <c r="D250" i="3" s="1"/>
  <c r="I250" i="3" l="1"/>
  <c r="K250" i="3" s="1"/>
  <c r="F250" i="3"/>
  <c r="G250" i="3" l="1"/>
  <c r="H250" i="3" s="1"/>
  <c r="J250" i="3" s="1"/>
  <c r="D251" i="3" s="1"/>
  <c r="I251" i="3" l="1"/>
  <c r="K251" i="3" s="1"/>
  <c r="F251" i="3"/>
  <c r="G251" i="3" l="1"/>
  <c r="H251" i="3" s="1"/>
  <c r="J251" i="3" s="1"/>
  <c r="D252" i="3" s="1"/>
  <c r="F252" i="3" l="1"/>
  <c r="I252" i="3"/>
  <c r="K252" i="3" s="1"/>
  <c r="G252" i="3" l="1"/>
  <c r="H252" i="3" s="1"/>
  <c r="J252" i="3" s="1"/>
  <c r="D253" i="3" s="1"/>
  <c r="I253" i="3" l="1"/>
  <c r="K253" i="3" s="1"/>
  <c r="F253" i="3"/>
  <c r="G253" i="3" l="1"/>
  <c r="H253" i="3" s="1"/>
  <c r="J253" i="3" s="1"/>
  <c r="D254" i="3" s="1"/>
  <c r="I254" i="3" l="1"/>
  <c r="K254" i="3" s="1"/>
  <c r="F254" i="3"/>
  <c r="G254" i="3" l="1"/>
  <c r="H254" i="3" s="1"/>
  <c r="J254" i="3" s="1"/>
  <c r="D255" i="3" s="1"/>
  <c r="I255" i="3" l="1"/>
  <c r="K255" i="3" s="1"/>
  <c r="F255" i="3"/>
  <c r="G255" i="3" l="1"/>
  <c r="H255" i="3" s="1"/>
  <c r="J255" i="3" s="1"/>
  <c r="D256" i="3" s="1"/>
  <c r="F256" i="3" l="1"/>
  <c r="I256" i="3"/>
  <c r="K256" i="3" s="1"/>
  <c r="G256" i="3" l="1"/>
  <c r="H256" i="3" s="1"/>
  <c r="J256" i="3" s="1"/>
  <c r="D257" i="3" s="1"/>
  <c r="I257" i="3" l="1"/>
  <c r="K257" i="3" s="1"/>
  <c r="F257" i="3"/>
  <c r="G257" i="3" l="1"/>
  <c r="H257" i="3" s="1"/>
  <c r="J257" i="3" s="1"/>
  <c r="D258" i="3" s="1"/>
  <c r="I258" i="3" l="1"/>
  <c r="K258" i="3" s="1"/>
  <c r="F258" i="3"/>
  <c r="G258" i="3" l="1"/>
  <c r="H258" i="3" s="1"/>
  <c r="J258" i="3" s="1"/>
  <c r="D259" i="3" s="1"/>
  <c r="I259" i="3" l="1"/>
  <c r="K259" i="3" s="1"/>
  <c r="F259" i="3"/>
  <c r="G259" i="3" l="1"/>
  <c r="H259" i="3" s="1"/>
  <c r="J259" i="3" s="1"/>
  <c r="D260" i="3" s="1"/>
  <c r="F260" i="3" l="1"/>
  <c r="I260" i="3"/>
  <c r="K260" i="3" s="1"/>
  <c r="G260" i="3" l="1"/>
  <c r="H260" i="3" s="1"/>
  <c r="J260" i="3" s="1"/>
  <c r="D261" i="3" s="1"/>
  <c r="I261" i="3" l="1"/>
  <c r="K261" i="3" s="1"/>
  <c r="F261" i="3"/>
  <c r="G261" i="3" l="1"/>
  <c r="H261" i="3" s="1"/>
  <c r="J261" i="3" s="1"/>
  <c r="D262" i="3" s="1"/>
  <c r="F262" i="3" l="1"/>
  <c r="I262" i="3"/>
  <c r="K262" i="3" s="1"/>
  <c r="G262" i="3" l="1"/>
  <c r="H262" i="3" s="1"/>
  <c r="J262" i="3" s="1"/>
  <c r="D263" i="3" s="1"/>
  <c r="I263" i="3" l="1"/>
  <c r="K263" i="3" s="1"/>
  <c r="F263" i="3"/>
  <c r="G263" i="3" l="1"/>
  <c r="H263" i="3" s="1"/>
  <c r="J263" i="3" s="1"/>
  <c r="D264" i="3" s="1"/>
  <c r="I264" i="3" l="1"/>
  <c r="K264" i="3" s="1"/>
  <c r="F264" i="3"/>
  <c r="G264" i="3" l="1"/>
  <c r="H264" i="3" s="1"/>
  <c r="J264" i="3" s="1"/>
  <c r="D265" i="3" s="1"/>
  <c r="I265" i="3" l="1"/>
  <c r="K265" i="3" s="1"/>
  <c r="F265" i="3"/>
  <c r="G265" i="3" l="1"/>
  <c r="H265" i="3" s="1"/>
  <c r="J265" i="3" s="1"/>
  <c r="D266" i="3" s="1"/>
  <c r="I266" i="3" l="1"/>
  <c r="K266" i="3" s="1"/>
  <c r="F266" i="3"/>
  <c r="G266" i="3" l="1"/>
  <c r="H266" i="3" s="1"/>
  <c r="J266" i="3" s="1"/>
  <c r="D267" i="3" s="1"/>
  <c r="I267" i="3" l="1"/>
  <c r="K267" i="3" s="1"/>
  <c r="F267" i="3"/>
  <c r="G267" i="3" l="1"/>
  <c r="H267" i="3" s="1"/>
  <c r="J267" i="3" s="1"/>
  <c r="D268" i="3" s="1"/>
  <c r="F268" i="3" l="1"/>
  <c r="I268" i="3"/>
  <c r="K268" i="3" s="1"/>
  <c r="G268" i="3" l="1"/>
  <c r="H268" i="3" s="1"/>
  <c r="J268" i="3" s="1"/>
  <c r="D269" i="3" s="1"/>
  <c r="I269" i="3" l="1"/>
  <c r="K269" i="3" s="1"/>
  <c r="F269" i="3"/>
  <c r="G269" i="3" l="1"/>
  <c r="H269" i="3" s="1"/>
  <c r="J269" i="3" s="1"/>
  <c r="D270" i="3" s="1"/>
  <c r="I270" i="3" l="1"/>
  <c r="K270" i="3" s="1"/>
  <c r="F270" i="3"/>
  <c r="G270" i="3" l="1"/>
  <c r="H270" i="3" s="1"/>
  <c r="J270" i="3" s="1"/>
  <c r="D271" i="3" s="1"/>
  <c r="F271" i="3" l="1"/>
  <c r="I271" i="3"/>
  <c r="K271" i="3" s="1"/>
  <c r="G271" i="3" l="1"/>
  <c r="H271" i="3" s="1"/>
  <c r="J271" i="3" s="1"/>
  <c r="D272" i="3" s="1"/>
  <c r="I272" i="3" l="1"/>
  <c r="K272" i="3" s="1"/>
  <c r="F272" i="3"/>
  <c r="G272" i="3" l="1"/>
  <c r="H272" i="3" s="1"/>
  <c r="J272" i="3" s="1"/>
  <c r="D273" i="3" s="1"/>
  <c r="I273" i="3" l="1"/>
  <c r="K273" i="3" s="1"/>
  <c r="F273" i="3"/>
  <c r="G273" i="3" l="1"/>
  <c r="H273" i="3" s="1"/>
  <c r="J273" i="3" s="1"/>
  <c r="D274" i="3" s="1"/>
  <c r="F274" i="3" l="1"/>
  <c r="I274" i="3"/>
  <c r="K274" i="3" s="1"/>
  <c r="G274" i="3" l="1"/>
  <c r="H274" i="3" s="1"/>
  <c r="J274" i="3" s="1"/>
  <c r="D275" i="3" s="1"/>
  <c r="I275" i="3" l="1"/>
  <c r="K275" i="3" s="1"/>
  <c r="F275" i="3"/>
  <c r="G275" i="3" l="1"/>
  <c r="H275" i="3" s="1"/>
  <c r="J275" i="3" s="1"/>
  <c r="D276" i="3" s="1"/>
  <c r="I276" i="3" l="1"/>
  <c r="K276" i="3" s="1"/>
  <c r="F276" i="3"/>
  <c r="G276" i="3" l="1"/>
  <c r="H276" i="3" s="1"/>
  <c r="J276" i="3" s="1"/>
  <c r="D277" i="3" s="1"/>
  <c r="F277" i="3" l="1"/>
  <c r="I277" i="3"/>
  <c r="K277" i="3" s="1"/>
  <c r="G277" i="3" l="1"/>
  <c r="H277" i="3" s="1"/>
  <c r="J277" i="3" s="1"/>
  <c r="D278" i="3" s="1"/>
  <c r="I278" i="3" l="1"/>
  <c r="K278" i="3" s="1"/>
  <c r="F278" i="3"/>
  <c r="G278" i="3" l="1"/>
  <c r="H278" i="3" s="1"/>
  <c r="J278" i="3" s="1"/>
  <c r="D279" i="3" s="1"/>
  <c r="I279" i="3" l="1"/>
  <c r="K279" i="3" s="1"/>
  <c r="F279" i="3"/>
  <c r="G279" i="3" l="1"/>
  <c r="H279" i="3" s="1"/>
  <c r="J279" i="3" s="1"/>
  <c r="D280" i="3" s="1"/>
  <c r="I280" i="3" l="1"/>
  <c r="K280" i="3" s="1"/>
  <c r="F280" i="3"/>
  <c r="G280" i="3" l="1"/>
  <c r="H280" i="3" s="1"/>
  <c r="J280" i="3" s="1"/>
  <c r="D281" i="3" s="1"/>
  <c r="F281" i="3" l="1"/>
  <c r="I281" i="3"/>
  <c r="K281" i="3" s="1"/>
  <c r="G281" i="3" l="1"/>
  <c r="H281" i="3" s="1"/>
  <c r="J281" i="3" s="1"/>
  <c r="D282" i="3" s="1"/>
  <c r="I282" i="3" l="1"/>
  <c r="K282" i="3" s="1"/>
  <c r="F282" i="3"/>
  <c r="G282" i="3" l="1"/>
  <c r="H282" i="3" s="1"/>
  <c r="J282" i="3" s="1"/>
  <c r="D283" i="3" s="1"/>
  <c r="I283" i="3" l="1"/>
  <c r="K283" i="3" s="1"/>
  <c r="F283" i="3"/>
  <c r="G283" i="3" l="1"/>
  <c r="H283" i="3" s="1"/>
  <c r="J283" i="3" s="1"/>
  <c r="D284" i="3" s="1"/>
  <c r="I284" i="3" l="1"/>
  <c r="K284" i="3" s="1"/>
  <c r="F284" i="3"/>
  <c r="G284" i="3" l="1"/>
  <c r="H284" i="3" s="1"/>
  <c r="J284" i="3" s="1"/>
  <c r="D285" i="3" s="1"/>
  <c r="I285" i="3" l="1"/>
  <c r="K285" i="3" s="1"/>
  <c r="F285" i="3"/>
  <c r="G285" i="3" l="1"/>
  <c r="H285" i="3" s="1"/>
  <c r="J285" i="3" s="1"/>
  <c r="D286" i="3" s="1"/>
  <c r="I286" i="3" l="1"/>
  <c r="K286" i="3" s="1"/>
  <c r="F286" i="3"/>
  <c r="G286" i="3" l="1"/>
  <c r="H286" i="3" s="1"/>
  <c r="J286" i="3" s="1"/>
  <c r="D287" i="3" s="1"/>
  <c r="I287" i="3" l="1"/>
  <c r="K287" i="3" s="1"/>
  <c r="F287" i="3"/>
  <c r="G287" i="3" l="1"/>
  <c r="H287" i="3" s="1"/>
  <c r="J287" i="3" s="1"/>
  <c r="D288" i="3" s="1"/>
  <c r="I288" i="3" l="1"/>
  <c r="K288" i="3" s="1"/>
  <c r="F288" i="3"/>
  <c r="G288" i="3" l="1"/>
  <c r="H288" i="3" s="1"/>
  <c r="J288" i="3" s="1"/>
  <c r="D289" i="3" s="1"/>
  <c r="F289" i="3" l="1"/>
  <c r="I289" i="3"/>
  <c r="K289" i="3" s="1"/>
  <c r="G289" i="3" l="1"/>
  <c r="H289" i="3" s="1"/>
  <c r="J289" i="3" s="1"/>
  <c r="D290" i="3" s="1"/>
  <c r="I290" i="3" l="1"/>
  <c r="K290" i="3" s="1"/>
  <c r="F290" i="3"/>
  <c r="G290" i="3" l="1"/>
  <c r="H290" i="3" s="1"/>
  <c r="J290" i="3" s="1"/>
  <c r="D291" i="3" s="1"/>
  <c r="I291" i="3" l="1"/>
  <c r="K291" i="3" s="1"/>
  <c r="F291" i="3"/>
  <c r="G291" i="3" l="1"/>
  <c r="H291" i="3" s="1"/>
  <c r="J291" i="3" s="1"/>
  <c r="D292" i="3" s="1"/>
  <c r="I292" i="3" l="1"/>
  <c r="K292" i="3" s="1"/>
  <c r="F292" i="3"/>
  <c r="G292" i="3" l="1"/>
  <c r="H292" i="3" s="1"/>
  <c r="J292" i="3" s="1"/>
  <c r="D293" i="3" s="1"/>
  <c r="I293" i="3" l="1"/>
  <c r="K293" i="3" s="1"/>
  <c r="F293" i="3"/>
  <c r="G293" i="3" l="1"/>
  <c r="H293" i="3" s="1"/>
  <c r="J293" i="3" s="1"/>
  <c r="D294" i="3" s="1"/>
  <c r="I294" i="3" l="1"/>
  <c r="K294" i="3" s="1"/>
  <c r="F294" i="3"/>
  <c r="G294" i="3" l="1"/>
  <c r="H294" i="3" s="1"/>
  <c r="J294" i="3" s="1"/>
  <c r="D295" i="3" s="1"/>
  <c r="I295" i="3" l="1"/>
  <c r="K295" i="3" s="1"/>
  <c r="F295" i="3"/>
  <c r="G295" i="3" l="1"/>
  <c r="H295" i="3" s="1"/>
  <c r="J295" i="3" s="1"/>
  <c r="D296" i="3" s="1"/>
  <c r="I296" i="3" l="1"/>
  <c r="K296" i="3" s="1"/>
  <c r="F296" i="3"/>
  <c r="G296" i="3" l="1"/>
  <c r="H296" i="3" s="1"/>
  <c r="J296" i="3" s="1"/>
  <c r="D297" i="3" s="1"/>
  <c r="I297" i="3" l="1"/>
  <c r="K297" i="3" s="1"/>
  <c r="F297" i="3"/>
  <c r="G297" i="3" l="1"/>
  <c r="H297" i="3" s="1"/>
  <c r="J297" i="3" s="1"/>
  <c r="D298" i="3" s="1"/>
  <c r="I298" i="3" l="1"/>
  <c r="K298" i="3" s="1"/>
  <c r="F298" i="3"/>
  <c r="G298" i="3" l="1"/>
  <c r="H298" i="3" s="1"/>
  <c r="J298" i="3" s="1"/>
  <c r="D299" i="3" s="1"/>
  <c r="I299" i="3" l="1"/>
  <c r="K299" i="3" s="1"/>
  <c r="F299" i="3"/>
  <c r="G299" i="3" l="1"/>
  <c r="H299" i="3" s="1"/>
  <c r="J299" i="3" s="1"/>
  <c r="D300" i="3" s="1"/>
  <c r="I300" i="3" l="1"/>
  <c r="K300" i="3" s="1"/>
  <c r="F300" i="3"/>
  <c r="G300" i="3" l="1"/>
  <c r="H300" i="3" s="1"/>
  <c r="J300" i="3" s="1"/>
  <c r="D301" i="3" s="1"/>
  <c r="I301" i="3" l="1"/>
  <c r="K301" i="3" s="1"/>
  <c r="F301" i="3"/>
  <c r="G301" i="3" l="1"/>
  <c r="H301" i="3" s="1"/>
  <c r="J301" i="3" s="1"/>
  <c r="D302" i="3" s="1"/>
  <c r="F302" i="3" l="1"/>
  <c r="I302" i="3"/>
  <c r="K302" i="3" s="1"/>
  <c r="G302" i="3" l="1"/>
  <c r="H302" i="3" s="1"/>
  <c r="J302" i="3" s="1"/>
  <c r="D303" i="3" s="1"/>
  <c r="I303" i="3" l="1"/>
  <c r="K303" i="3" s="1"/>
  <c r="F303" i="3"/>
  <c r="G303" i="3" l="1"/>
  <c r="H303" i="3" s="1"/>
  <c r="J303" i="3" s="1"/>
  <c r="D304" i="3" s="1"/>
  <c r="I304" i="3" l="1"/>
  <c r="K304" i="3" s="1"/>
  <c r="F304" i="3"/>
  <c r="G304" i="3" l="1"/>
  <c r="H304" i="3" s="1"/>
  <c r="J304" i="3" s="1"/>
  <c r="D305" i="3" s="1"/>
  <c r="F305" i="3" l="1"/>
  <c r="I305" i="3"/>
  <c r="K305" i="3" s="1"/>
  <c r="G305" i="3" l="1"/>
  <c r="H305" i="3" s="1"/>
  <c r="J305" i="3" s="1"/>
  <c r="D306" i="3" s="1"/>
  <c r="I306" i="3" l="1"/>
  <c r="K306" i="3" s="1"/>
  <c r="F306" i="3"/>
  <c r="G306" i="3" l="1"/>
  <c r="H306" i="3" s="1"/>
  <c r="J306" i="3" s="1"/>
  <c r="D307" i="3" s="1"/>
  <c r="I307" i="3" l="1"/>
  <c r="K307" i="3" s="1"/>
  <c r="F307" i="3"/>
  <c r="G307" i="3" l="1"/>
  <c r="H307" i="3" s="1"/>
  <c r="J307" i="3" s="1"/>
  <c r="D308" i="3" s="1"/>
  <c r="I308" i="3" l="1"/>
  <c r="K308" i="3" s="1"/>
  <c r="F308" i="3"/>
  <c r="G308" i="3" l="1"/>
  <c r="H308" i="3" s="1"/>
  <c r="J308" i="3" s="1"/>
  <c r="D309" i="3" s="1"/>
  <c r="F309" i="3" l="1"/>
  <c r="I309" i="3"/>
  <c r="K309" i="3" s="1"/>
  <c r="G309" i="3" l="1"/>
  <c r="H309" i="3" s="1"/>
  <c r="J309" i="3" s="1"/>
  <c r="D310" i="3" s="1"/>
  <c r="I310" i="3" l="1"/>
  <c r="K310" i="3" s="1"/>
  <c r="F310" i="3"/>
  <c r="G310" i="3" l="1"/>
  <c r="H310" i="3" s="1"/>
  <c r="J310" i="3" s="1"/>
  <c r="D311" i="3" s="1"/>
  <c r="I311" i="3" l="1"/>
  <c r="K311" i="3" s="1"/>
  <c r="F311" i="3"/>
  <c r="G311" i="3" l="1"/>
  <c r="H311" i="3" s="1"/>
  <c r="J311" i="3" s="1"/>
  <c r="D312" i="3" s="1"/>
  <c r="F312" i="3" l="1"/>
  <c r="I312" i="3"/>
  <c r="K312" i="3" s="1"/>
  <c r="G312" i="3" l="1"/>
  <c r="H312" i="3" s="1"/>
  <c r="J312" i="3" s="1"/>
  <c r="D313" i="3" s="1"/>
  <c r="I313" i="3" l="1"/>
  <c r="K313" i="3" s="1"/>
  <c r="F313" i="3"/>
  <c r="G313" i="3" l="1"/>
  <c r="H313" i="3" s="1"/>
  <c r="J313" i="3" s="1"/>
  <c r="D314" i="3" s="1"/>
  <c r="I314" i="3" l="1"/>
  <c r="K314" i="3" s="1"/>
  <c r="F314" i="3"/>
  <c r="G314" i="3" l="1"/>
  <c r="H314" i="3" s="1"/>
  <c r="J314" i="3" s="1"/>
  <c r="D315" i="3" s="1"/>
  <c r="I315" i="3" l="1"/>
  <c r="K315" i="3" s="1"/>
  <c r="F315" i="3"/>
  <c r="G315" i="3" l="1"/>
  <c r="H315" i="3" s="1"/>
  <c r="J315" i="3" s="1"/>
  <c r="D316" i="3" s="1"/>
  <c r="I316" i="3" l="1"/>
  <c r="K316" i="3" s="1"/>
  <c r="F316" i="3"/>
  <c r="G316" i="3" l="1"/>
  <c r="H316" i="3" s="1"/>
  <c r="J316" i="3" s="1"/>
  <c r="D317" i="3" s="1"/>
  <c r="I317" i="3" l="1"/>
  <c r="K317" i="3" s="1"/>
  <c r="F317" i="3"/>
  <c r="G317" i="3" l="1"/>
  <c r="H317" i="3" s="1"/>
  <c r="J317" i="3" s="1"/>
  <c r="D318" i="3" s="1"/>
  <c r="I318" i="3" l="1"/>
  <c r="K318" i="3" s="1"/>
  <c r="F318" i="3"/>
  <c r="G318" i="3" l="1"/>
  <c r="H318" i="3" s="1"/>
  <c r="J318" i="3" s="1"/>
  <c r="D319" i="3" s="1"/>
  <c r="I319" i="3" l="1"/>
  <c r="K319" i="3" s="1"/>
  <c r="F319" i="3"/>
  <c r="G319" i="3" l="1"/>
  <c r="H319" i="3" s="1"/>
  <c r="J319" i="3" s="1"/>
  <c r="D320" i="3" s="1"/>
  <c r="I320" i="3" l="1"/>
  <c r="K320" i="3" s="1"/>
  <c r="F320" i="3"/>
  <c r="G320" i="3" l="1"/>
  <c r="H320" i="3" s="1"/>
  <c r="J320" i="3" s="1"/>
  <c r="D321" i="3" s="1"/>
  <c r="I321" i="3" l="1"/>
  <c r="K321" i="3" s="1"/>
  <c r="F321" i="3"/>
  <c r="G321" i="3" l="1"/>
  <c r="H321" i="3" s="1"/>
  <c r="J321" i="3" s="1"/>
  <c r="D322" i="3" s="1"/>
  <c r="I322" i="3" l="1"/>
  <c r="K322" i="3" s="1"/>
  <c r="F322" i="3"/>
  <c r="G322" i="3" l="1"/>
  <c r="H322" i="3" s="1"/>
  <c r="J322" i="3" s="1"/>
  <c r="D323" i="3" s="1"/>
  <c r="I323" i="3" l="1"/>
  <c r="K323" i="3" s="1"/>
  <c r="F323" i="3"/>
  <c r="G323" i="3" l="1"/>
  <c r="H323" i="3" s="1"/>
  <c r="J323" i="3" s="1"/>
  <c r="D324" i="3" s="1"/>
  <c r="I324" i="3" l="1"/>
  <c r="K324" i="3" s="1"/>
  <c r="F324" i="3"/>
  <c r="G324" i="3" l="1"/>
  <c r="H324" i="3" s="1"/>
  <c r="J324" i="3" s="1"/>
  <c r="D325" i="3" s="1"/>
  <c r="I325" i="3" l="1"/>
  <c r="K325" i="3" s="1"/>
  <c r="F325" i="3"/>
  <c r="G325" i="3" l="1"/>
  <c r="H325" i="3" s="1"/>
  <c r="J325" i="3" s="1"/>
  <c r="D326" i="3" s="1"/>
  <c r="I326" i="3" l="1"/>
  <c r="K326" i="3" s="1"/>
  <c r="F326" i="3"/>
  <c r="G326" i="3" l="1"/>
  <c r="H326" i="3" s="1"/>
  <c r="J326" i="3" s="1"/>
  <c r="D327" i="3" s="1"/>
  <c r="I327" i="3" l="1"/>
  <c r="K327" i="3" s="1"/>
  <c r="F327" i="3"/>
  <c r="G327" i="3" l="1"/>
  <c r="H327" i="3" s="1"/>
  <c r="J327" i="3" s="1"/>
  <c r="D328" i="3" s="1"/>
  <c r="F328" i="3" l="1"/>
  <c r="I328" i="3"/>
  <c r="K328" i="3" s="1"/>
  <c r="G328" i="3" l="1"/>
  <c r="H328" i="3" s="1"/>
  <c r="J328" i="3" s="1"/>
  <c r="D329" i="3" s="1"/>
  <c r="F329" i="3" l="1"/>
  <c r="I329" i="3"/>
  <c r="K329" i="3" s="1"/>
  <c r="G329" i="3" l="1"/>
  <c r="H329" i="3" s="1"/>
  <c r="J329" i="3" s="1"/>
  <c r="D330" i="3" s="1"/>
  <c r="I330" i="3" l="1"/>
  <c r="K330" i="3" s="1"/>
  <c r="F330" i="3"/>
  <c r="G330" i="3" l="1"/>
  <c r="H330" i="3" s="1"/>
  <c r="J330" i="3" s="1"/>
  <c r="D331" i="3" s="1"/>
  <c r="F331" i="3" l="1"/>
  <c r="I331" i="3"/>
  <c r="K331" i="3" s="1"/>
  <c r="G331" i="3" l="1"/>
  <c r="H331" i="3" s="1"/>
  <c r="J331" i="3" s="1"/>
  <c r="D332" i="3" s="1"/>
  <c r="I332" i="3" l="1"/>
  <c r="K332" i="3" s="1"/>
  <c r="F332" i="3"/>
  <c r="G332" i="3" l="1"/>
  <c r="H332" i="3" s="1"/>
  <c r="J332" i="3" s="1"/>
  <c r="D333" i="3" s="1"/>
  <c r="I333" i="3" l="1"/>
  <c r="K333" i="3" s="1"/>
  <c r="F333" i="3"/>
  <c r="G333" i="3" l="1"/>
  <c r="H333" i="3" s="1"/>
  <c r="J333" i="3" s="1"/>
  <c r="D334" i="3" s="1"/>
  <c r="I334" i="3" l="1"/>
  <c r="K334" i="3" s="1"/>
  <c r="F334" i="3"/>
  <c r="G334" i="3" l="1"/>
  <c r="H334" i="3" s="1"/>
  <c r="J334" i="3" s="1"/>
  <c r="D335" i="3" s="1"/>
  <c r="I335" i="3" l="1"/>
  <c r="K335" i="3" s="1"/>
  <c r="F335" i="3"/>
  <c r="G335" i="3" l="1"/>
  <c r="H335" i="3" s="1"/>
  <c r="J335" i="3" s="1"/>
  <c r="D336" i="3" s="1"/>
  <c r="I336" i="3" l="1"/>
  <c r="K336" i="3" s="1"/>
  <c r="F336" i="3"/>
  <c r="G336" i="3" l="1"/>
  <c r="H336" i="3" s="1"/>
  <c r="J336" i="3" s="1"/>
  <c r="D337" i="3" s="1"/>
  <c r="I337" i="3" l="1"/>
  <c r="K337" i="3" s="1"/>
  <c r="F337" i="3"/>
  <c r="G337" i="3" l="1"/>
  <c r="H337" i="3" s="1"/>
  <c r="J337" i="3" s="1"/>
  <c r="D338" i="3" s="1"/>
  <c r="I338" i="3" l="1"/>
  <c r="K338" i="3" s="1"/>
  <c r="F338" i="3"/>
  <c r="G338" i="3" l="1"/>
  <c r="H338" i="3" s="1"/>
  <c r="J338" i="3" s="1"/>
  <c r="D339" i="3" s="1"/>
  <c r="I339" i="3" l="1"/>
  <c r="K339" i="3" s="1"/>
  <c r="F339" i="3"/>
  <c r="G339" i="3" l="1"/>
  <c r="H339" i="3" s="1"/>
  <c r="J339" i="3" s="1"/>
  <c r="D340" i="3" s="1"/>
  <c r="F340" i="3" l="1"/>
  <c r="I340" i="3"/>
  <c r="K340" i="3" s="1"/>
  <c r="G340" i="3" l="1"/>
  <c r="H340" i="3" s="1"/>
  <c r="J340" i="3" s="1"/>
  <c r="D341" i="3" s="1"/>
  <c r="I341" i="3" l="1"/>
  <c r="K341" i="3" s="1"/>
  <c r="F341" i="3"/>
  <c r="G341" i="3" l="1"/>
  <c r="H341" i="3" s="1"/>
  <c r="J341" i="3" s="1"/>
  <c r="D342" i="3" s="1"/>
  <c r="I342" i="3" l="1"/>
  <c r="K342" i="3" s="1"/>
  <c r="F342" i="3"/>
  <c r="G342" i="3" l="1"/>
  <c r="H342" i="3" s="1"/>
  <c r="J342" i="3" s="1"/>
  <c r="D343" i="3" s="1"/>
  <c r="F343" i="3" l="1"/>
  <c r="I343" i="3"/>
  <c r="K343" i="3" s="1"/>
  <c r="G343" i="3" l="1"/>
  <c r="H343" i="3" s="1"/>
  <c r="J343" i="3" s="1"/>
  <c r="D344" i="3" s="1"/>
  <c r="I344" i="3" l="1"/>
  <c r="K344" i="3" s="1"/>
  <c r="F344" i="3"/>
  <c r="G344" i="3" l="1"/>
  <c r="H344" i="3" s="1"/>
  <c r="J344" i="3" s="1"/>
  <c r="D345" i="3" s="1"/>
  <c r="I345" i="3" l="1"/>
  <c r="K345" i="3" s="1"/>
  <c r="F345" i="3"/>
  <c r="G345" i="3" l="1"/>
  <c r="H345" i="3" s="1"/>
  <c r="J345" i="3" s="1"/>
  <c r="D346" i="3" s="1"/>
  <c r="I346" i="3" l="1"/>
  <c r="K346" i="3" s="1"/>
  <c r="F346" i="3"/>
  <c r="G346" i="3" l="1"/>
  <c r="H346" i="3" s="1"/>
  <c r="J346" i="3" s="1"/>
  <c r="D347" i="3" s="1"/>
  <c r="I347" i="3" l="1"/>
  <c r="K347" i="3" s="1"/>
  <c r="F347" i="3"/>
  <c r="G347" i="3" l="1"/>
  <c r="H347" i="3" s="1"/>
  <c r="J347" i="3" s="1"/>
  <c r="D348" i="3" s="1"/>
  <c r="I348" i="3" l="1"/>
  <c r="K348" i="3" s="1"/>
  <c r="F348" i="3"/>
  <c r="G348" i="3" l="1"/>
  <c r="H348" i="3" s="1"/>
  <c r="J348" i="3" s="1"/>
  <c r="D349" i="3" s="1"/>
  <c r="I349" i="3" l="1"/>
  <c r="K349" i="3" s="1"/>
  <c r="F349" i="3"/>
  <c r="G349" i="3" l="1"/>
  <c r="H349" i="3" s="1"/>
  <c r="J349" i="3" s="1"/>
  <c r="D350" i="3" s="1"/>
  <c r="I350" i="3" l="1"/>
  <c r="K350" i="3" s="1"/>
  <c r="F350" i="3"/>
  <c r="G350" i="3" l="1"/>
  <c r="H350" i="3" s="1"/>
  <c r="J350" i="3" s="1"/>
  <c r="D351" i="3" s="1"/>
  <c r="I351" i="3" l="1"/>
  <c r="K351" i="3" s="1"/>
  <c r="F351" i="3"/>
  <c r="G351" i="3" l="1"/>
  <c r="H351" i="3" s="1"/>
  <c r="J351" i="3" s="1"/>
  <c r="D352" i="3" s="1"/>
  <c r="F352" i="3" l="1"/>
  <c r="I352" i="3"/>
  <c r="K352" i="3" s="1"/>
  <c r="G352" i="3" l="1"/>
  <c r="H352" i="3" s="1"/>
  <c r="J352" i="3" s="1"/>
  <c r="D353" i="3" s="1"/>
  <c r="I353" i="3" l="1"/>
  <c r="K353" i="3" s="1"/>
  <c r="F353" i="3"/>
  <c r="G353" i="3" l="1"/>
  <c r="H353" i="3" s="1"/>
  <c r="J353" i="3" s="1"/>
  <c r="D354" i="3" s="1"/>
  <c r="I354" i="3" l="1"/>
  <c r="K354" i="3" s="1"/>
  <c r="F354" i="3"/>
  <c r="G354" i="3" l="1"/>
  <c r="H354" i="3" s="1"/>
  <c r="J354" i="3" s="1"/>
  <c r="D355" i="3" s="1"/>
  <c r="I355" i="3" l="1"/>
  <c r="K355" i="3" s="1"/>
  <c r="F355" i="3"/>
  <c r="G355" i="3" l="1"/>
  <c r="H355" i="3" s="1"/>
  <c r="J355" i="3" s="1"/>
  <c r="D356" i="3" s="1"/>
  <c r="I356" i="3" l="1"/>
  <c r="K356" i="3" s="1"/>
  <c r="F356" i="3"/>
  <c r="G356" i="3" l="1"/>
  <c r="H356" i="3" s="1"/>
  <c r="J356" i="3" s="1"/>
  <c r="D357" i="3" s="1"/>
  <c r="I357" i="3" l="1"/>
  <c r="K357" i="3" s="1"/>
  <c r="F357" i="3"/>
  <c r="G357" i="3" l="1"/>
  <c r="H357" i="3" s="1"/>
  <c r="J357" i="3" s="1"/>
  <c r="D358" i="3" s="1"/>
  <c r="I358" i="3" l="1"/>
  <c r="K358" i="3" s="1"/>
  <c r="F358" i="3"/>
  <c r="G358" i="3" l="1"/>
  <c r="H358" i="3" s="1"/>
  <c r="J358" i="3" s="1"/>
  <c r="D359" i="3" s="1"/>
  <c r="I359" i="3" l="1"/>
  <c r="K359" i="3" s="1"/>
  <c r="F359" i="3"/>
  <c r="G359" i="3" l="1"/>
  <c r="H359" i="3" s="1"/>
  <c r="J359" i="3" s="1"/>
  <c r="D360" i="3" s="1"/>
  <c r="F360" i="3" l="1"/>
  <c r="I360" i="3"/>
  <c r="K360" i="3" s="1"/>
  <c r="G360" i="3" l="1"/>
  <c r="H360" i="3" s="1"/>
  <c r="J360" i="3" s="1"/>
  <c r="D361" i="3" s="1"/>
  <c r="F361" i="3" l="1"/>
  <c r="I361" i="3"/>
  <c r="K361" i="3" s="1"/>
  <c r="G361" i="3" l="1"/>
  <c r="H361" i="3" s="1"/>
  <c r="J361" i="3" s="1"/>
  <c r="D362" i="3" s="1"/>
  <c r="I362" i="3" l="1"/>
  <c r="K362" i="3" s="1"/>
  <c r="F362" i="3"/>
  <c r="G362" i="3" l="1"/>
  <c r="H362" i="3" s="1"/>
  <c r="J362" i="3" s="1"/>
  <c r="D363" i="3" s="1"/>
  <c r="F363" i="3" l="1"/>
  <c r="I363" i="3"/>
  <c r="K363" i="3" s="1"/>
  <c r="G363" i="3" l="1"/>
  <c r="H363" i="3" s="1"/>
  <c r="J363" i="3" s="1"/>
  <c r="D364" i="3" s="1"/>
  <c r="I364" i="3" l="1"/>
  <c r="K364" i="3" s="1"/>
  <c r="F364" i="3"/>
  <c r="G364" i="3" l="1"/>
  <c r="H364" i="3" s="1"/>
  <c r="J364" i="3" s="1"/>
  <c r="D365" i="3" s="1"/>
  <c r="F365" i="3" l="1"/>
  <c r="I365" i="3"/>
  <c r="K365" i="3" s="1"/>
  <c r="G365" i="3" l="1"/>
  <c r="H365" i="3" s="1"/>
  <c r="J365" i="3" s="1"/>
  <c r="D366" i="3" s="1"/>
  <c r="I366" i="3" l="1"/>
  <c r="K366" i="3" s="1"/>
  <c r="F366" i="3"/>
  <c r="G366" i="3" l="1"/>
  <c r="H366" i="3" s="1"/>
  <c r="J366" i="3" s="1"/>
  <c r="D367" i="3" s="1"/>
  <c r="I367" i="3" l="1"/>
  <c r="K367" i="3" s="1"/>
  <c r="F367" i="3"/>
  <c r="G367" i="3" l="1"/>
  <c r="H367" i="3" s="1"/>
  <c r="J367" i="3" s="1"/>
  <c r="D368" i="3" s="1"/>
  <c r="I368" i="3" l="1"/>
  <c r="K368" i="3" s="1"/>
  <c r="F368" i="3"/>
  <c r="G368" i="3" l="1"/>
  <c r="H368" i="3" s="1"/>
  <c r="J368" i="3" s="1"/>
  <c r="D369" i="3" s="1"/>
  <c r="I369" i="3" l="1"/>
  <c r="K369" i="3" s="1"/>
  <c r="F369" i="3"/>
  <c r="G369" i="3" l="1"/>
  <c r="H369" i="3" s="1"/>
  <c r="J369" i="3" s="1"/>
  <c r="D370" i="3" s="1"/>
  <c r="I370" i="3" l="1"/>
  <c r="K370" i="3" s="1"/>
  <c r="F370" i="3"/>
  <c r="G370" i="3" l="1"/>
  <c r="H370" i="3" s="1"/>
  <c r="J370" i="3" s="1"/>
  <c r="D371" i="3" s="1"/>
  <c r="I371" i="3" l="1"/>
  <c r="F371" i="3"/>
  <c r="K371" i="3" l="1"/>
  <c r="I7" i="3"/>
  <c r="J371" i="3"/>
  <c r="G371" i="3"/>
  <c r="H371" i="3" s="1"/>
  <c r="E14" i="1" l="1"/>
  <c r="E13" i="1"/>
  <c r="E12" i="1"/>
  <c r="E30" i="1"/>
  <c r="J28" i="1"/>
  <c r="J35" i="1"/>
  <c r="E37" i="1"/>
  <c r="J51" i="1"/>
  <c r="J52" i="1"/>
  <c r="J53" i="1"/>
  <c r="J54" i="1"/>
  <c r="J46" i="1"/>
  <c r="J47" i="1"/>
  <c r="J39" i="1"/>
  <c r="J40" i="1"/>
  <c r="J41" i="1"/>
  <c r="J23" i="1"/>
  <c r="J24" i="1"/>
  <c r="J25" i="1"/>
  <c r="J26" i="1"/>
  <c r="J27" i="1"/>
  <c r="J11" i="1"/>
  <c r="J12" i="1"/>
  <c r="J13" i="1"/>
  <c r="J14" i="1"/>
  <c r="J15" i="1"/>
  <c r="J16" i="1"/>
  <c r="J17" i="1"/>
  <c r="J18" i="1"/>
  <c r="J19" i="1"/>
  <c r="E55" i="1"/>
  <c r="E56" i="1"/>
  <c r="E57" i="1"/>
  <c r="E58" i="1"/>
  <c r="E59" i="1"/>
  <c r="E60" i="1"/>
  <c r="E61" i="1"/>
  <c r="E47" i="1"/>
  <c r="E48" i="1"/>
  <c r="E49" i="1"/>
  <c r="E50" i="1"/>
  <c r="E51" i="1"/>
  <c r="E41" i="1"/>
  <c r="E42" i="1"/>
  <c r="E43" i="1"/>
  <c r="E34" i="1"/>
  <c r="E35" i="1"/>
  <c r="E36" i="1"/>
  <c r="E24" i="1"/>
  <c r="E25" i="1"/>
  <c r="E26" i="1"/>
  <c r="E27" i="1"/>
  <c r="E28" i="1"/>
  <c r="E29" i="1"/>
  <c r="E11" i="1"/>
  <c r="E15" i="1"/>
  <c r="E16" i="1"/>
  <c r="E17" i="1"/>
  <c r="E18" i="1"/>
  <c r="E19" i="1"/>
  <c r="E20" i="1"/>
  <c r="I55" i="1"/>
  <c r="H55" i="1"/>
  <c r="I48" i="1"/>
  <c r="H48" i="1"/>
  <c r="I42" i="1"/>
  <c r="H42" i="1"/>
  <c r="I36" i="1"/>
  <c r="I29" i="1"/>
  <c r="H29" i="1"/>
  <c r="D62" i="1"/>
  <c r="C62" i="1"/>
  <c r="D52" i="1"/>
  <c r="C52" i="1"/>
  <c r="D44" i="1"/>
  <c r="C44" i="1"/>
  <c r="D38" i="1"/>
  <c r="C38" i="1"/>
  <c r="D31" i="1"/>
  <c r="C31" i="1"/>
  <c r="I20" i="1"/>
  <c r="H20" i="1"/>
  <c r="D21" i="1"/>
  <c r="C21" i="1"/>
  <c r="E5" i="1"/>
  <c r="H45" i="1" s="1"/>
  <c r="J45" i="1" s="1"/>
  <c r="E8" i="1"/>
  <c r="H34" i="1" l="1"/>
  <c r="J34" i="1" s="1"/>
  <c r="H33" i="1"/>
  <c r="J33" i="1" s="1"/>
  <c r="H32" i="1"/>
  <c r="J4" i="1"/>
  <c r="J7" i="1" s="1"/>
  <c r="J20" i="1"/>
  <c r="E62" i="1"/>
  <c r="E21" i="1"/>
  <c r="J55" i="1"/>
  <c r="J48" i="1"/>
  <c r="J42" i="1"/>
  <c r="J29" i="1"/>
  <c r="E52" i="1"/>
  <c r="E44" i="1"/>
  <c r="E38" i="1"/>
  <c r="E31" i="1"/>
  <c r="H36" i="1" l="1"/>
  <c r="J3" i="1" s="1"/>
  <c r="J6" i="1" s="1"/>
  <c r="J8" i="1" s="1"/>
  <c r="J32" i="1"/>
  <c r="J36" i="1" s="1"/>
  <c r="J5" i="1" s="1"/>
</calcChain>
</file>

<file path=xl/sharedStrings.xml><?xml version="1.0" encoding="utf-8"?>
<sst xmlns="http://schemas.openxmlformats.org/spreadsheetml/2006/main" count="170" uniqueCount="106">
  <si>
    <t>Projected Cost</t>
  </si>
  <si>
    <t>Actual Cost</t>
  </si>
  <si>
    <t>Difference</t>
  </si>
  <si>
    <t>Mortgage or rent</t>
  </si>
  <si>
    <t>Gas</t>
  </si>
  <si>
    <t>Water and sewer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</si>
  <si>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</si>
  <si>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</si>
  <si>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</si>
  <si>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</si>
  <si>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</si>
  <si>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</si>
  <si>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</si>
  <si>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</si>
  <si>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</si>
  <si>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</si>
  <si>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</si>
  <si>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</si>
  <si>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</si>
  <si>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</si>
  <si>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</si>
  <si>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</si>
  <si>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</si>
  <si>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</si>
  <si>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</si>
  <si>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</si>
  <si>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</si>
  <si>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</si>
  <si>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</si>
  <si>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</si>
  <si>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</si>
  <si>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</si>
  <si>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</si>
  <si>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</si>
  <si>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Organization dues or fees</t>
  </si>
  <si>
    <t>Attorney</t>
  </si>
  <si>
    <t>Alimony</t>
  </si>
  <si>
    <t>Student</t>
  </si>
  <si>
    <t>Personal Monthly Budget</t>
  </si>
  <si>
    <t>Total monthly income</t>
  </si>
  <si>
    <t>Payments on lien or judgment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</si>
  <si>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</si>
  <si>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</si>
  <si>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</si>
  <si>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</si>
  <si>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</si>
  <si>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</si>
  <si>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</si>
  <si>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</si>
  <si>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</si>
  <si>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</si>
  <si>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</si>
  <si>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</si>
  <si>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</si>
  <si>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</si>
  <si>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</si>
  <si>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</si>
  <si>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</si>
  <si>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</si>
  <si>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</si>
  <si>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</si>
  <si>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</t>
  </si>
  <si>
    <t>(Projected income minus expenses)</t>
  </si>
  <si>
    <t>(Actual income minus expenses)</t>
  </si>
  <si>
    <t>Total Expense Difference</t>
  </si>
  <si>
    <t xml:space="preserve">TOTAL PROJECTED EXPENSE </t>
  </si>
  <si>
    <t xml:space="preserve">TOTAL ACTUAL EXPENSE </t>
  </si>
  <si>
    <t>PROJECTED BALANCE</t>
  </si>
  <si>
    <t>ACTUAL BALANCE</t>
  </si>
  <si>
    <t>BALANCE DIFFERENCE (Actual minus projected)</t>
  </si>
  <si>
    <t>LOAN AMORTIZATION SCHEDULE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</si>
  <si>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</si>
  <si>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</si>
  <si>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</si>
  <si>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</si>
  <si>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</si>
  <si>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</si>
  <si>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</si>
  <si>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</si>
  <si>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</si>
  <si>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</si>
  <si>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</si>
  <si>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</si>
  <si>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</si>
  <si>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</si>
  <si>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</si>
  <si>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</si>
  <si>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</si>
  <si>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</si>
  <si>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</si>
  <si>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</si>
  <si>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</si>
  <si>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</si>
  <si>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</si>
  <si>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</si>
  <si>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Cell Phone</t>
  </si>
  <si>
    <t>Cable/Internet</t>
  </si>
  <si>
    <t>Tolls</t>
  </si>
  <si>
    <t>Wedding Gifts</t>
  </si>
  <si>
    <t>Christmas/Birthday</t>
  </si>
  <si>
    <t>Tithe</t>
  </si>
  <si>
    <t>Vacation</t>
  </si>
  <si>
    <t>Column1</t>
  </si>
  <si>
    <t>DVD</t>
  </si>
  <si>
    <t>Spouse 2</t>
  </si>
  <si>
    <t>Spouse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</si>
</sst>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indexed="63"/>
      <name val="Microsoft Sans Serif"/>
      <family val="2"/>
      <scheme val="minor"/>
    </font>
    <font>
      <b/>
      <sz val="10"/>
      <color indexed="63"/>
      <name val="Microsoft Sans Serif"/>
      <family val="2"/>
      <scheme val="minor"/>
    </font>
    <font>
      <sz val="10"/>
      <name val="Microsoft Sans Serif"/>
      <family val="2"/>
      <scheme val="minor"/>
    </font>
    <font>
      <b/>
      <sz val="10"/>
      <name val="Microsoft Sans Serif"/>
      <family val="2"/>
      <scheme val="minor"/>
    </font>
    <font>
      <b/>
      <sz val="10"/>
      <color theme="3"/>
      <name val="Microsoft Sans Serif"/>
      <family val="2"/>
      <scheme val="minor"/>
    </font>
    <font>
      <b/>
      <sz val="10"/>
      <color theme="4"/>
      <name val="Microsoft Sans Serif"/>
      <family val="2"/>
      <scheme val="minor"/>
    </font>
    <font>
      <sz val="10"/>
      <color theme="3"/>
      <name val="Microsoft Sans Serif"/>
      <family val="2"/>
      <scheme val="minor"/>
    </font>
    <font>
      <sz val="10"/>
      <color theme="4"/>
      <name val="Microsoft Sans Serif"/>
      <family val="2"/>
      <scheme val="minor"/>
    </font>
    <font>
      <sz val="30"/>
      <color theme="3"/>
      <name val="Franklin Gothic Demi"/>
      <family val="2"/>
      <scheme val="major"/>
    </font>
    <font>
      <sz val="10"/>
      <color theme="1"/>
      <name val="Microsoft Sans Serif"/>
      <family val="2"/>
      <scheme val="minor"/>
    </font>
    <font>
      <b/>
      <sz val="10"/>
      <color theme="1"/>
      <name val="Microsoft Sans Serif"/>
      <family val="2"/>
      <scheme val="minor"/>
    </font>
    <font>
      <b/>
      <sz val="15"/>
      <color theme="3"/>
      <name val="Microsoft Sans Serif"/>
      <family val="2"/>
      <scheme val="minor"/>
    </font>
    <font>
      <b/>
      <sz val="13"/>
      <color theme="3"/>
      <name val="Microsoft Sans Serif"/>
      <family val="2"/>
      <scheme val="minor"/>
    </font>
    <font>
      <b/>
      <sz val="11"/>
      <color theme="3"/>
      <name val="Microsoft Sans Serif"/>
      <family val="2"/>
      <scheme val="minor"/>
    </font>
    <font>
      <sz val="11"/>
      <color rgb="FF3F3F76"/>
      <name val="Microsoft Sans Serif"/>
      <family val="2"/>
      <scheme val="minor"/>
    </font>
    <font>
      <b/>
      <sz val="11"/>
      <color theme="0"/>
      <name val="Microsoft Sans Serif"/>
      <family val="2"/>
      <scheme val="minor"/>
    </font>
    <font>
      <i/>
      <sz val="11"/>
      <color rgb="FF7F7F7F"/>
      <name val="Microsoft Sans Serif"/>
      <family val="2"/>
      <scheme val="minor"/>
    </font>
    <font>
      <sz val="11"/>
      <color theme="1" tint="0.24994659260841701"/>
      <name val="Microsoft Sans Serif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4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4" tint="0.79998168889431442"/>
      </bottom>
      <diagonal/>
    </border>
    <border>
      <left style="medium">
        <color theme="6" tint="0.79998168889431442"/>
      </left>
      <right/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4" tint="0.79998168889431442"/>
      </left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 style="medium">
        <color theme="3"/>
      </top>
      <bottom/>
      <diagonal/>
    </border>
    <border>
      <left/>
      <right/>
      <top style="medium">
        <color theme="6" tint="0.79998168889431442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/>
      <right/>
      <top style="medium">
        <color theme="6" tint="0.79998168889431442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</borders>
  <cellStyleXfs count="15">
    <xf numFmtId="0" fontId="0" fillId="0" borderId="0"/>
    <xf numFmtId="5" fontId="11" fillId="0" borderId="0" applyFont="0" applyFill="0" applyBorder="0" applyProtection="0">
      <alignment horizontal="left" vertical="center" indent="1"/>
    </xf>
    <xf numFmtId="9" fontId="11" fillId="0" borderId="0" applyFont="0" applyFill="0" applyBorder="0" applyAlignment="0" applyProtection="0"/>
    <xf numFmtId="0" fontId="13" fillId="0" borderId="70" applyNumberFormat="0" applyFill="0" applyAlignment="0" applyProtection="0"/>
    <xf numFmtId="0" fontId="14" fillId="0" borderId="71" applyNumberFormat="0" applyFill="0" applyAlignment="0" applyProtection="0"/>
    <xf numFmtId="0" fontId="15" fillId="0" borderId="72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73" applyNumberFormat="0" applyAlignment="0" applyProtection="0"/>
    <xf numFmtId="0" fontId="18" fillId="0" borderId="0" applyNumberFormat="0" applyFill="0" applyBorder="0" applyAlignment="0" applyProtection="0"/>
    <xf numFmtId="165" fontId="19" fillId="11" borderId="0" applyFont="0" applyFill="0" applyBorder="0" applyAlignment="0" applyProtection="0"/>
    <xf numFmtId="0" fontId="19" fillId="10" borderId="0" applyNumberFormat="0" applyFont="0" applyAlignment="0">
      <alignment horizontal="center" vertical="center" wrapText="1"/>
    </xf>
    <xf numFmtId="1" fontId="19" fillId="10" borderId="0" applyFont="0" applyFill="0" applyBorder="0" applyAlignment="0"/>
    <xf numFmtId="14" fontId="19" fillId="0" borderId="0" applyFont="0" applyFill="0" applyBorder="0" applyAlignment="0"/>
    <xf numFmtId="0" fontId="17" fillId="12" borderId="0" applyBorder="0" applyProtection="0">
      <alignment horizontal="right" vertical="center" wrapText="1" indent="2"/>
    </xf>
    <xf numFmtId="165" fontId="19" fillId="11" borderId="0" applyFont="0" applyFill="0" applyBorder="0" applyProtection="0">
      <alignment horizontal="right" indent="2"/>
    </xf>
  </cellStyleXfs>
  <cellXfs count="21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6" fontId="2" fillId="6" borderId="0" xfId="0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1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26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4" fontId="9" fillId="5" borderId="27" xfId="0" applyNumberFormat="1" applyFont="1" applyFill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164" fontId="9" fillId="5" borderId="5" xfId="0" applyNumberFormat="1" applyFont="1" applyFill="1" applyBorder="1" applyAlignment="1">
      <alignment horizontal="right" vertical="center"/>
    </xf>
    <xf numFmtId="164" fontId="9" fillId="5" borderId="48" xfId="0" applyNumberFormat="1" applyFont="1" applyFill="1" applyBorder="1" applyAlignment="1">
      <alignment horizontal="right" vertical="center"/>
    </xf>
    <xf numFmtId="0" fontId="9" fillId="5" borderId="30" xfId="0" applyFont="1" applyFill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right" vertical="center"/>
    </xf>
    <xf numFmtId="164" fontId="9" fillId="5" borderId="30" xfId="0" applyNumberFormat="1" applyFont="1" applyFill="1" applyBorder="1" applyAlignment="1">
      <alignment horizontal="right" vertical="center"/>
    </xf>
    <xf numFmtId="0" fontId="9" fillId="5" borderId="45" xfId="0" applyFont="1" applyFill="1" applyBorder="1" applyAlignment="1">
      <alignment horizontal="center" vertical="center"/>
    </xf>
    <xf numFmtId="164" fontId="9" fillId="5" borderId="46" xfId="0" applyNumberFormat="1" applyFont="1" applyFill="1" applyBorder="1" applyAlignment="1">
      <alignment horizontal="right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164" fontId="9" fillId="5" borderId="51" xfId="0" applyNumberFormat="1" applyFont="1" applyFill="1" applyBorder="1" applyAlignment="1">
      <alignment horizontal="right" vertical="center"/>
    </xf>
    <xf numFmtId="164" fontId="9" fillId="5" borderId="52" xfId="0" applyNumberFormat="1" applyFont="1" applyFill="1" applyBorder="1" applyAlignment="1">
      <alignment horizontal="right" vertical="center"/>
    </xf>
    <xf numFmtId="0" fontId="9" fillId="5" borderId="53" xfId="0" applyFont="1" applyFill="1" applyBorder="1" applyAlignment="1">
      <alignment horizontal="left" vertical="center" indent="1"/>
    </xf>
    <xf numFmtId="164" fontId="9" fillId="5" borderId="50" xfId="0" applyNumberFormat="1" applyFont="1" applyFill="1" applyBorder="1" applyAlignment="1">
      <alignment horizontal="right" vertical="center" indent="1"/>
    </xf>
    <xf numFmtId="164" fontId="9" fillId="5" borderId="51" xfId="0" applyNumberFormat="1" applyFont="1" applyFill="1" applyBorder="1" applyAlignment="1">
      <alignment horizontal="right" vertical="center" indent="1"/>
    </xf>
    <xf numFmtId="164" fontId="9" fillId="5" borderId="43" xfId="0" applyNumberFormat="1" applyFont="1" applyFill="1" applyBorder="1" applyAlignment="1">
      <alignment horizontal="right" vertical="center" indent="1"/>
    </xf>
    <xf numFmtId="0" fontId="9" fillId="5" borderId="54" xfId="0" applyFont="1" applyFill="1" applyBorder="1" applyAlignment="1">
      <alignment horizontal="left" vertical="center" indent="1"/>
    </xf>
    <xf numFmtId="0" fontId="9" fillId="5" borderId="4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vertical="center"/>
    </xf>
    <xf numFmtId="6" fontId="8" fillId="6" borderId="6" xfId="0" applyNumberFormat="1" applyFont="1" applyFill="1" applyBorder="1" applyAlignment="1">
      <alignment horizontal="left" vertical="center" indent="1"/>
    </xf>
    <xf numFmtId="6" fontId="8" fillId="7" borderId="8" xfId="0" applyNumberFormat="1" applyFont="1" applyFill="1" applyBorder="1" applyAlignment="1">
      <alignment horizontal="left" vertical="center" indent="1"/>
    </xf>
    <xf numFmtId="6" fontId="6" fillId="8" borderId="5" xfId="0" applyNumberFormat="1" applyFont="1" applyFill="1" applyBorder="1" applyAlignment="1">
      <alignment horizontal="left" vertical="center" indent="1"/>
    </xf>
    <xf numFmtId="6" fontId="3" fillId="8" borderId="12" xfId="0" applyNumberFormat="1" applyFont="1" applyFill="1" applyBorder="1" applyAlignment="1">
      <alignment horizontal="left" vertical="center" indent="1"/>
    </xf>
    <xf numFmtId="6" fontId="2" fillId="7" borderId="8" xfId="0" applyNumberFormat="1" applyFont="1" applyFill="1" applyBorder="1" applyAlignment="1">
      <alignment horizontal="left" vertical="center" inden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indent="1" shrinkToFit="1"/>
    </xf>
    <xf numFmtId="164" fontId="8" fillId="0" borderId="21" xfId="0" applyNumberFormat="1" applyFont="1" applyFill="1" applyBorder="1" applyAlignment="1">
      <alignment horizontal="right" vertical="center" indent="1"/>
    </xf>
    <xf numFmtId="0" fontId="8" fillId="3" borderId="22" xfId="0" applyFont="1" applyFill="1" applyBorder="1" applyAlignment="1">
      <alignment horizontal="left" vertical="center" indent="1" shrinkToFit="1"/>
    </xf>
    <xf numFmtId="164" fontId="8" fillId="3" borderId="15" xfId="0" applyNumberFormat="1" applyFont="1" applyFill="1" applyBorder="1" applyAlignment="1">
      <alignment horizontal="right" vertical="center" indent="1"/>
    </xf>
    <xf numFmtId="0" fontId="8" fillId="0" borderId="23" xfId="0" applyFont="1" applyFill="1" applyBorder="1" applyAlignment="1">
      <alignment horizontal="left" vertical="center" indent="1" shrinkToFit="1"/>
    </xf>
    <xf numFmtId="164" fontId="8" fillId="0" borderId="15" xfId="0" applyNumberFormat="1" applyFont="1" applyFill="1" applyBorder="1" applyAlignment="1">
      <alignment horizontal="right" vertical="center" indent="1"/>
    </xf>
    <xf numFmtId="0" fontId="8" fillId="3" borderId="15" xfId="0" applyFont="1" applyFill="1" applyBorder="1" applyAlignment="1">
      <alignment horizontal="left" vertical="center" indent="1" shrinkToFit="1"/>
    </xf>
    <xf numFmtId="164" fontId="8" fillId="3" borderId="22" xfId="0" applyNumberFormat="1" applyFont="1" applyFill="1" applyBorder="1" applyAlignment="1">
      <alignment horizontal="right" vertical="center" indent="1"/>
    </xf>
    <xf numFmtId="164" fontId="8" fillId="0" borderId="16" xfId="0" applyNumberFormat="1" applyFont="1" applyFill="1" applyBorder="1" applyAlignment="1">
      <alignment horizontal="right" vertical="center" indent="1"/>
    </xf>
    <xf numFmtId="164" fontId="8" fillId="3" borderId="21" xfId="0" applyNumberFormat="1" applyFont="1" applyFill="1" applyBorder="1" applyAlignment="1">
      <alignment horizontal="right" vertical="center" indent="1"/>
    </xf>
    <xf numFmtId="164" fontId="8" fillId="3" borderId="19" xfId="0" applyNumberFormat="1" applyFont="1" applyFill="1" applyBorder="1" applyAlignment="1">
      <alignment horizontal="right" vertical="center" indent="1"/>
    </xf>
    <xf numFmtId="0" fontId="8" fillId="0" borderId="22" xfId="0" applyFont="1" applyFill="1" applyBorder="1" applyAlignment="1">
      <alignment horizontal="left" vertical="center" indent="1" shrinkToFit="1"/>
    </xf>
    <xf numFmtId="164" fontId="8" fillId="0" borderId="22" xfId="0" applyNumberFormat="1" applyFont="1" applyFill="1" applyBorder="1" applyAlignment="1">
      <alignment horizontal="right" vertical="center" indent="1"/>
    </xf>
    <xf numFmtId="164" fontId="8" fillId="0" borderId="17" xfId="0" applyNumberFormat="1" applyFont="1" applyFill="1" applyBorder="1" applyAlignment="1">
      <alignment horizontal="right" vertical="center" indent="1"/>
    </xf>
    <xf numFmtId="164" fontId="8" fillId="3" borderId="16" xfId="0" applyNumberFormat="1" applyFont="1" applyFill="1" applyBorder="1" applyAlignment="1">
      <alignment horizontal="right" vertical="center" indent="1"/>
    </xf>
    <xf numFmtId="164" fontId="8" fillId="0" borderId="19" xfId="0" applyNumberFormat="1" applyFont="1" applyFill="1" applyBorder="1" applyAlignment="1">
      <alignment horizontal="right" vertical="center" indent="1"/>
    </xf>
    <xf numFmtId="0" fontId="8" fillId="4" borderId="17" xfId="0" applyFont="1" applyFill="1" applyBorder="1" applyAlignment="1">
      <alignment horizontal="left" vertical="center" indent="1"/>
    </xf>
    <xf numFmtId="164" fontId="6" fillId="4" borderId="23" xfId="0" applyNumberFormat="1" applyFont="1" applyFill="1" applyBorder="1" applyAlignment="1">
      <alignment horizontal="right" vertical="center" indent="1"/>
    </xf>
    <xf numFmtId="164" fontId="8" fillId="4" borderId="23" xfId="0" applyNumberFormat="1" applyFont="1" applyFill="1" applyBorder="1" applyAlignment="1">
      <alignment horizontal="right" vertical="center" indent="1"/>
    </xf>
    <xf numFmtId="164" fontId="8" fillId="4" borderId="18" xfId="0" applyNumberFormat="1" applyFont="1" applyFill="1" applyBorder="1" applyAlignment="1">
      <alignment horizontal="right" vertical="center" indent="1"/>
    </xf>
    <xf numFmtId="0" fontId="8" fillId="0" borderId="40" xfId="0" applyFont="1" applyFill="1" applyBorder="1" applyAlignment="1">
      <alignment horizontal="left" vertical="center" indent="1" shrinkToFit="1"/>
    </xf>
    <xf numFmtId="164" fontId="8" fillId="0" borderId="46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8" fillId="0" borderId="31" xfId="0" applyNumberFormat="1" applyFont="1" applyFill="1" applyBorder="1" applyAlignment="1">
      <alignment horizontal="right" vertical="center" indent="1"/>
    </xf>
    <xf numFmtId="0" fontId="8" fillId="7" borderId="33" xfId="0" applyFont="1" applyFill="1" applyBorder="1" applyAlignment="1">
      <alignment horizontal="left" vertical="center" indent="1" shrinkToFit="1"/>
    </xf>
    <xf numFmtId="164" fontId="8" fillId="7" borderId="33" xfId="0" applyNumberFormat="1" applyFont="1" applyFill="1" applyBorder="1" applyAlignment="1">
      <alignment horizontal="right" vertical="center" indent="1"/>
    </xf>
    <xf numFmtId="164" fontId="8" fillId="0" borderId="33" xfId="0" applyNumberFormat="1" applyFont="1" applyFill="1" applyBorder="1" applyAlignment="1">
      <alignment horizontal="right" vertical="center" indent="1"/>
    </xf>
    <xf numFmtId="164" fontId="8" fillId="0" borderId="40" xfId="0" applyNumberFormat="1" applyFont="1" applyFill="1" applyBorder="1" applyAlignment="1">
      <alignment horizontal="right" vertical="center" indent="1"/>
    </xf>
    <xf numFmtId="164" fontId="8" fillId="7" borderId="36" xfId="0" applyNumberFormat="1" applyFont="1" applyFill="1" applyBorder="1" applyAlignment="1">
      <alignment horizontal="right" vertical="center" indent="1"/>
    </xf>
    <xf numFmtId="164" fontId="8" fillId="7" borderId="34" xfId="0" applyNumberFormat="1" applyFont="1" applyFill="1" applyBorder="1" applyAlignment="1">
      <alignment horizontal="right" vertical="center" indent="1"/>
    </xf>
    <xf numFmtId="164" fontId="8" fillId="7" borderId="40" xfId="0" applyNumberFormat="1" applyFont="1" applyFill="1" applyBorder="1" applyAlignment="1">
      <alignment horizontal="right" vertical="center" indent="1"/>
    </xf>
    <xf numFmtId="0" fontId="8" fillId="0" borderId="35" xfId="0" applyFont="1" applyFill="1" applyBorder="1" applyAlignment="1">
      <alignment horizontal="left" vertical="center" indent="1" shrinkToFit="1"/>
    </xf>
    <xf numFmtId="164" fontId="8" fillId="0" borderId="41" xfId="0" applyNumberFormat="1" applyFont="1" applyFill="1" applyBorder="1" applyAlignment="1">
      <alignment horizontal="right" vertical="center" indent="1"/>
    </xf>
    <xf numFmtId="0" fontId="8" fillId="7" borderId="39" xfId="0" applyFont="1" applyFill="1" applyBorder="1" applyAlignment="1">
      <alignment horizontal="left" vertical="center" indent="1" shrinkToFit="1"/>
    </xf>
    <xf numFmtId="164" fontId="8" fillId="7" borderId="39" xfId="0" applyNumberFormat="1" applyFont="1" applyFill="1" applyBorder="1" applyAlignment="1">
      <alignment horizontal="right" vertical="center" indent="1"/>
    </xf>
    <xf numFmtId="164" fontId="8" fillId="7" borderId="38" xfId="0" applyNumberFormat="1" applyFont="1" applyFill="1" applyBorder="1" applyAlignment="1">
      <alignment horizontal="right" vertical="center" indent="1"/>
    </xf>
    <xf numFmtId="0" fontId="8" fillId="0" borderId="17" xfId="0" applyFont="1" applyFill="1" applyBorder="1" applyAlignment="1">
      <alignment horizontal="left" vertical="center" indent="1"/>
    </xf>
    <xf numFmtId="164" fontId="8" fillId="0" borderId="21" xfId="0" applyNumberFormat="1" applyFont="1" applyFill="1" applyBorder="1" applyAlignment="1">
      <alignment horizontal="right" vertical="center"/>
    </xf>
    <xf numFmtId="164" fontId="8" fillId="3" borderId="22" xfId="0" applyNumberFormat="1" applyFont="1" applyFill="1" applyBorder="1" applyAlignment="1">
      <alignment horizontal="right"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8" fillId="3" borderId="21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 indent="1" shrinkToFit="1"/>
    </xf>
    <xf numFmtId="0" fontId="8" fillId="3" borderId="21" xfId="0" applyFont="1" applyFill="1" applyBorder="1" applyAlignment="1">
      <alignment horizontal="left" vertical="center" indent="1" shrinkToFit="1"/>
    </xf>
    <xf numFmtId="164" fontId="8" fillId="0" borderId="22" xfId="0" applyNumberFormat="1" applyFont="1" applyFill="1" applyBorder="1" applyAlignment="1">
      <alignment horizontal="right" vertical="center"/>
    </xf>
    <xf numFmtId="164" fontId="8" fillId="0" borderId="23" xfId="0" applyNumberFormat="1" applyFont="1" applyFill="1" applyBorder="1" applyAlignment="1">
      <alignment horizontal="right" vertical="center"/>
    </xf>
    <xf numFmtId="164" fontId="8" fillId="4" borderId="22" xfId="0" applyNumberFormat="1" applyFont="1" applyFill="1" applyBorder="1" applyAlignment="1">
      <alignment horizontal="right" vertical="center"/>
    </xf>
    <xf numFmtId="164" fontId="8" fillId="0" borderId="46" xfId="0" applyNumberFormat="1" applyFont="1" applyFill="1" applyBorder="1" applyAlignment="1">
      <alignment horizontal="right" vertical="center"/>
    </xf>
    <xf numFmtId="164" fontId="8" fillId="0" borderId="40" xfId="0" applyNumberFormat="1" applyFont="1" applyFill="1" applyBorder="1" applyAlignment="1">
      <alignment horizontal="right" vertical="center"/>
    </xf>
    <xf numFmtId="164" fontId="8" fillId="0" borderId="44" xfId="0" applyNumberFormat="1" applyFont="1" applyFill="1" applyBorder="1" applyAlignment="1">
      <alignment horizontal="right" vertical="center"/>
    </xf>
    <xf numFmtId="0" fontId="8" fillId="7" borderId="34" xfId="0" applyFont="1" applyFill="1" applyBorder="1" applyAlignment="1">
      <alignment horizontal="left" vertical="center" indent="1" shrinkToFit="1"/>
    </xf>
    <xf numFmtId="164" fontId="8" fillId="7" borderId="33" xfId="0" applyNumberFormat="1" applyFont="1" applyFill="1" applyBorder="1" applyAlignment="1">
      <alignment horizontal="right" vertical="center"/>
    </xf>
    <xf numFmtId="164" fontId="8" fillId="7" borderId="34" xfId="0" applyNumberFormat="1" applyFont="1" applyFill="1" applyBorder="1" applyAlignment="1">
      <alignment horizontal="right" vertical="center"/>
    </xf>
    <xf numFmtId="0" fontId="8" fillId="0" borderId="34" xfId="0" applyFont="1" applyFill="1" applyBorder="1" applyAlignment="1">
      <alignment horizontal="left" vertical="center" indent="1" shrinkToFit="1"/>
    </xf>
    <xf numFmtId="164" fontId="8" fillId="0" borderId="42" xfId="0" applyNumberFormat="1" applyFont="1" applyFill="1" applyBorder="1" applyAlignment="1">
      <alignment horizontal="right" vertical="center"/>
    </xf>
    <xf numFmtId="164" fontId="8" fillId="0" borderId="33" xfId="0" applyNumberFormat="1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left" vertical="center" indent="1" shrinkToFit="1"/>
    </xf>
    <xf numFmtId="164" fontId="8" fillId="0" borderId="34" xfId="0" applyNumberFormat="1" applyFont="1" applyFill="1" applyBorder="1" applyAlignment="1">
      <alignment horizontal="right" vertical="center"/>
    </xf>
    <xf numFmtId="0" fontId="8" fillId="7" borderId="45" xfId="0" applyFont="1" applyFill="1" applyBorder="1" applyAlignment="1">
      <alignment horizontal="left" vertical="center" indent="1" shrinkToFit="1"/>
    </xf>
    <xf numFmtId="164" fontId="8" fillId="7" borderId="45" xfId="0" applyNumberFormat="1" applyFont="1" applyFill="1" applyBorder="1" applyAlignment="1">
      <alignment horizontal="right" vertical="center"/>
    </xf>
    <xf numFmtId="164" fontId="8" fillId="7" borderId="40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left" vertical="center" indent="1" shrinkToFit="1"/>
    </xf>
    <xf numFmtId="164" fontId="8" fillId="3" borderId="15" xfId="0" applyNumberFormat="1" applyFont="1" applyFill="1" applyBorder="1" applyAlignment="1">
      <alignment horizontal="right" vertical="center"/>
    </xf>
    <xf numFmtId="164" fontId="8" fillId="3" borderId="23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indent="1" shrinkToFit="1"/>
    </xf>
    <xf numFmtId="164" fontId="8" fillId="0" borderId="49" xfId="0" applyNumberFormat="1" applyFont="1" applyFill="1" applyBorder="1" applyAlignment="1">
      <alignment horizontal="right" vertical="center"/>
    </xf>
    <xf numFmtId="0" fontId="8" fillId="7" borderId="56" xfId="0" applyFont="1" applyFill="1" applyBorder="1" applyAlignment="1">
      <alignment horizontal="left" vertical="center" indent="1" shrinkToFit="1"/>
    </xf>
    <xf numFmtId="164" fontId="8" fillId="7" borderId="41" xfId="0" applyNumberFormat="1" applyFont="1" applyFill="1" applyBorder="1" applyAlignment="1">
      <alignment horizontal="right" vertical="center"/>
    </xf>
    <xf numFmtId="164" fontId="8" fillId="7" borderId="35" xfId="0" applyNumberFormat="1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left" vertical="center" indent="1" shrinkToFit="1"/>
    </xf>
    <xf numFmtId="164" fontId="8" fillId="0" borderId="37" xfId="0" applyNumberFormat="1" applyFont="1" applyFill="1" applyBorder="1" applyAlignment="1">
      <alignment horizontal="right" vertical="center"/>
    </xf>
    <xf numFmtId="0" fontId="8" fillId="7" borderId="7" xfId="0" applyFont="1" applyFill="1" applyBorder="1" applyAlignment="1">
      <alignment horizontal="left" vertical="center" indent="1" shrinkToFit="1"/>
    </xf>
    <xf numFmtId="164" fontId="8" fillId="7" borderId="49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right" vertical="center"/>
    </xf>
    <xf numFmtId="164" fontId="8" fillId="3" borderId="16" xfId="0" applyNumberFormat="1" applyFont="1" applyFill="1" applyBorder="1" applyAlignment="1">
      <alignment horizontal="right" vertical="center"/>
    </xf>
    <xf numFmtId="164" fontId="8" fillId="4" borderId="17" xfId="0" applyNumberFormat="1" applyFont="1" applyFill="1" applyBorder="1" applyAlignment="1">
      <alignment horizontal="right" vertical="center"/>
    </xf>
    <xf numFmtId="0" fontId="8" fillId="0" borderId="55" xfId="0" applyFont="1" applyFill="1" applyBorder="1" applyAlignment="1">
      <alignment horizontal="left" vertical="center" indent="1" shrinkToFit="1"/>
    </xf>
    <xf numFmtId="164" fontId="8" fillId="0" borderId="31" xfId="0" applyNumberFormat="1" applyFont="1" applyFill="1" applyBorder="1" applyAlignment="1">
      <alignment horizontal="right" vertical="center"/>
    </xf>
    <xf numFmtId="164" fontId="8" fillId="7" borderId="36" xfId="0" applyNumberFormat="1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left" vertical="center" indent="1" shrinkToFit="1"/>
    </xf>
    <xf numFmtId="164" fontId="8" fillId="0" borderId="45" xfId="0" applyNumberFormat="1" applyFont="1" applyFill="1" applyBorder="1" applyAlignment="1">
      <alignment horizontal="right" vertical="center"/>
    </xf>
    <xf numFmtId="164" fontId="8" fillId="0" borderId="47" xfId="0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left" vertical="center" indent="1" shrinkToFit="1"/>
    </xf>
    <xf numFmtId="0" fontId="8" fillId="0" borderId="20" xfId="0" applyFont="1" applyFill="1" applyBorder="1" applyAlignment="1">
      <alignment horizontal="left" vertical="center" indent="1" shrinkToFit="1"/>
    </xf>
    <xf numFmtId="164" fontId="8" fillId="4" borderId="0" xfId="0" applyNumberFormat="1" applyFont="1" applyFill="1" applyBorder="1" applyAlignment="1">
      <alignment horizontal="right" vertical="center"/>
    </xf>
    <xf numFmtId="0" fontId="8" fillId="0" borderId="42" xfId="0" applyFont="1" applyFill="1" applyBorder="1" applyAlignment="1">
      <alignment horizontal="left" vertical="center" indent="1" shrinkToFit="1"/>
    </xf>
    <xf numFmtId="0" fontId="8" fillId="0" borderId="45" xfId="0" applyFont="1" applyFill="1" applyBorder="1" applyAlignment="1">
      <alignment horizontal="left" vertical="center" indent="1" shrinkToFit="1"/>
    </xf>
    <xf numFmtId="164" fontId="8" fillId="0" borderId="0" xfId="0" applyNumberFormat="1" applyFont="1" applyFill="1" applyBorder="1" applyAlignment="1">
      <alignment horizontal="right" vertical="center"/>
    </xf>
    <xf numFmtId="0" fontId="8" fillId="7" borderId="32" xfId="0" applyFont="1" applyFill="1" applyBorder="1" applyAlignment="1">
      <alignment horizontal="left" vertical="center" indent="1" shrinkToFit="1"/>
    </xf>
    <xf numFmtId="164" fontId="8" fillId="7" borderId="29" xfId="0" applyNumberFormat="1" applyFont="1" applyFill="1" applyBorder="1" applyAlignment="1">
      <alignment horizontal="right" vertical="center"/>
    </xf>
    <xf numFmtId="164" fontId="8" fillId="0" borderId="41" xfId="0" applyNumberFormat="1" applyFont="1" applyFill="1" applyBorder="1" applyAlignment="1">
      <alignment horizontal="right" vertical="center"/>
    </xf>
    <xf numFmtId="0" fontId="8" fillId="7" borderId="57" xfId="0" applyFont="1" applyFill="1" applyBorder="1" applyAlignment="1">
      <alignment horizontal="left" vertical="center" indent="1" shrinkToFit="1"/>
    </xf>
    <xf numFmtId="164" fontId="8" fillId="7" borderId="58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8" fillId="0" borderId="23" xfId="0" applyFont="1" applyFill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164" fontId="8" fillId="4" borderId="21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indent="1" shrinkToFit="1"/>
    </xf>
    <xf numFmtId="0" fontId="3" fillId="2" borderId="11" xfId="0" applyFont="1" applyFill="1" applyBorder="1" applyAlignment="1">
      <alignment vertical="center" wrapText="1"/>
    </xf>
    <xf numFmtId="0" fontId="0" fillId="0" borderId="5" xfId="0" applyBorder="1" applyAlignment="1"/>
    <xf numFmtId="0" fontId="3" fillId="2" borderId="0" xfId="0" applyFont="1" applyFill="1" applyBorder="1" applyAlignment="1">
      <alignment vertical="center" wrapText="1"/>
    </xf>
    <xf numFmtId="0" fontId="7" fillId="5" borderId="65" xfId="0" applyFont="1" applyFill="1" applyBorder="1" applyAlignment="1">
      <alignment horizontal="left" vertical="center" indent="1" shrinkToFit="1"/>
    </xf>
    <xf numFmtId="5" fontId="3" fillId="8" borderId="63" xfId="1" applyFont="1" applyFill="1" applyBorder="1">
      <alignment horizontal="left" vertical="center" indent="1"/>
    </xf>
    <xf numFmtId="5" fontId="2" fillId="6" borderId="67" xfId="1" applyFont="1" applyFill="1" applyBorder="1">
      <alignment horizontal="left" vertical="center" indent="1"/>
    </xf>
    <xf numFmtId="5" fontId="2" fillId="7" borderId="64" xfId="1" applyFont="1" applyFill="1" applyBorder="1">
      <alignment horizontal="left" vertical="center" indent="1"/>
    </xf>
    <xf numFmtId="5" fontId="11" fillId="7" borderId="0" xfId="1" applyFont="1" applyFill="1">
      <alignment horizontal="left" vertical="center" indent="1"/>
    </xf>
    <xf numFmtId="0" fontId="7" fillId="5" borderId="68" xfId="0" applyFont="1" applyFill="1" applyBorder="1" applyAlignment="1">
      <alignment horizontal="left" vertical="center" indent="1" shrinkToFit="1"/>
    </xf>
    <xf numFmtId="0" fontId="7" fillId="5" borderId="61" xfId="0" applyFont="1" applyFill="1" applyBorder="1" applyAlignment="1">
      <alignment horizontal="left" vertical="center" indent="1" shrinkToFit="1"/>
    </xf>
    <xf numFmtId="5" fontId="12" fillId="8" borderId="62" xfId="1" applyFont="1" applyFill="1" applyBorder="1">
      <alignment horizontal="left" vertical="center" indent="1"/>
    </xf>
    <xf numFmtId="5" fontId="11" fillId="6" borderId="69" xfId="1" applyFont="1" applyFill="1" applyBorder="1">
      <alignment horizontal="left" vertical="center" indent="1"/>
    </xf>
    <xf numFmtId="0" fontId="13" fillId="0" borderId="70" xfId="3" applyAlignment="1">
      <alignment vertical="center"/>
    </xf>
    <xf numFmtId="0" fontId="14" fillId="0" borderId="71" xfId="4" applyAlignment="1">
      <alignment vertical="center"/>
    </xf>
    <xf numFmtId="165" fontId="19" fillId="11" borderId="0" xfId="9"/>
    <xf numFmtId="165" fontId="19" fillId="10" borderId="0" xfId="10" applyNumberFormat="1" applyBorder="1" applyAlignment="1"/>
    <xf numFmtId="9" fontId="19" fillId="11" borderId="74" xfId="2" applyFont="1" applyFill="1" applyBorder="1" applyAlignment="1">
      <alignment horizontal="right"/>
    </xf>
    <xf numFmtId="1" fontId="19" fillId="10" borderId="74" xfId="11" applyBorder="1" applyAlignment="1"/>
    <xf numFmtId="1" fontId="19" fillId="11" borderId="0" xfId="11" applyFill="1"/>
    <xf numFmtId="1" fontId="19" fillId="11" borderId="74" xfId="11" applyFill="1" applyBorder="1"/>
    <xf numFmtId="165" fontId="19" fillId="10" borderId="74" xfId="10" applyNumberFormat="1" applyBorder="1" applyAlignment="1"/>
    <xf numFmtId="14" fontId="19" fillId="11" borderId="74" xfId="12" applyFill="1" applyBorder="1"/>
    <xf numFmtId="165" fontId="19" fillId="11" borderId="74" xfId="9" applyFont="1" applyFill="1" applyBorder="1"/>
    <xf numFmtId="0" fontId="15" fillId="0" borderId="72" xfId="5" applyAlignment="1">
      <alignment vertical="center"/>
    </xf>
    <xf numFmtId="0" fontId="15" fillId="0" borderId="0" xfId="6" applyAlignment="1">
      <alignment vertical="center" wrapText="1"/>
    </xf>
    <xf numFmtId="0" fontId="17" fillId="12" borderId="0" xfId="13">
      <alignment horizontal="right" vertical="center" wrapText="1" indent="2"/>
    </xf>
    <xf numFmtId="1" fontId="0" fillId="0" borderId="0" xfId="11" applyFont="1" applyFill="1" applyBorder="1" applyAlignment="1">
      <alignment horizontal="left"/>
    </xf>
    <xf numFmtId="14" fontId="0" fillId="0" borderId="0" xfId="12" applyFont="1" applyFill="1" applyBorder="1" applyAlignment="1">
      <alignment horizontal="left"/>
    </xf>
    <xf numFmtId="165" fontId="0" fillId="0" borderId="0" xfId="14" applyFont="1" applyFill="1" applyBorder="1">
      <alignment horizontal="right" indent="2"/>
    </xf>
    <xf numFmtId="165" fontId="0" fillId="0" borderId="0" xfId="14" applyFont="1" applyFill="1">
      <alignment horizontal="right" indent="2"/>
    </xf>
    <xf numFmtId="165" fontId="0" fillId="0" borderId="0" xfId="9" applyFont="1" applyFill="1"/>
    <xf numFmtId="0" fontId="10" fillId="4" borderId="0" xfId="0" applyFont="1" applyFill="1" applyBorder="1" applyAlignment="1">
      <alignment horizontal="left" vertical="center" indent="1"/>
    </xf>
    <xf numFmtId="0" fontId="6" fillId="8" borderId="5" xfId="0" applyFont="1" applyFill="1" applyBorder="1" applyAlignment="1">
      <alignment horizontal="left" vertical="center" wrapText="1" indent="1"/>
    </xf>
    <xf numFmtId="0" fontId="6" fillId="8" borderId="10" xfId="0" applyFont="1" applyFill="1" applyBorder="1" applyAlignment="1">
      <alignment horizontal="left" vertical="center" wrapText="1" indent="1"/>
    </xf>
    <xf numFmtId="0" fontId="8" fillId="6" borderId="6" xfId="0" applyFont="1" applyFill="1" applyBorder="1" applyAlignment="1">
      <alignment horizontal="left" vertical="center" wrapText="1" indent="1"/>
    </xf>
    <xf numFmtId="0" fontId="8" fillId="6" borderId="9" xfId="0" applyFont="1" applyFill="1" applyBorder="1" applyAlignment="1">
      <alignment horizontal="left" vertical="center" wrapText="1" indent="1"/>
    </xf>
    <xf numFmtId="0" fontId="8" fillId="7" borderId="59" xfId="0" applyFont="1" applyFill="1" applyBorder="1" applyAlignment="1">
      <alignment horizontal="left" vertical="center" wrapText="1" indent="1"/>
    </xf>
    <xf numFmtId="0" fontId="8" fillId="7" borderId="60" xfId="0" applyFont="1" applyFill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5" borderId="13" xfId="0" applyFont="1" applyFill="1" applyBorder="1" applyAlignment="1">
      <alignment horizontal="left" vertical="center" indent="1" shrinkToFit="1"/>
    </xf>
    <xf numFmtId="0" fontId="7" fillId="5" borderId="0" xfId="0" applyFont="1" applyFill="1" applyBorder="1" applyAlignment="1">
      <alignment horizontal="left" vertical="center" indent="1" shrinkToFit="1"/>
    </xf>
    <xf numFmtId="0" fontId="7" fillId="5" borderId="1" xfId="0" applyFont="1" applyFill="1" applyBorder="1" applyAlignment="1">
      <alignment horizontal="left" vertical="center" indent="1" shrinkToFit="1"/>
    </xf>
    <xf numFmtId="0" fontId="7" fillId="5" borderId="2" xfId="0" applyFont="1" applyFill="1" applyBorder="1" applyAlignment="1">
      <alignment horizontal="left" vertical="center" indent="1" shrinkToFit="1"/>
    </xf>
    <xf numFmtId="0" fontId="7" fillId="5" borderId="14" xfId="0" applyFont="1" applyFill="1" applyBorder="1" applyAlignment="1">
      <alignment horizontal="left" vertical="center" indent="1" shrinkToFit="1"/>
    </xf>
    <xf numFmtId="0" fontId="6" fillId="8" borderId="5" xfId="0" applyFont="1" applyFill="1" applyBorder="1" applyAlignment="1">
      <alignment horizontal="right" vertical="center" indent="1" shrinkToFit="1"/>
    </xf>
    <xf numFmtId="0" fontId="6" fillId="8" borderId="10" xfId="0" applyFont="1" applyFill="1" applyBorder="1" applyAlignment="1">
      <alignment horizontal="right" vertical="center" indent="1" shrinkToFit="1"/>
    </xf>
    <xf numFmtId="0" fontId="6" fillId="8" borderId="5" xfId="0" applyFont="1" applyFill="1" applyBorder="1" applyAlignment="1">
      <alignment horizontal="right" vertical="center" indent="6" shrinkToFit="1"/>
    </xf>
    <xf numFmtId="0" fontId="6" fillId="8" borderId="10" xfId="0" applyFont="1" applyFill="1" applyBorder="1" applyAlignment="1">
      <alignment horizontal="right" vertical="center" indent="6" shrinkToFit="1"/>
    </xf>
    <xf numFmtId="0" fontId="8" fillId="6" borderId="6" xfId="0" applyFont="1" applyFill="1" applyBorder="1" applyAlignment="1">
      <alignment horizontal="left" vertical="center" indent="1" shrinkToFit="1"/>
    </xf>
    <xf numFmtId="0" fontId="8" fillId="6" borderId="9" xfId="0" applyFont="1" applyFill="1" applyBorder="1" applyAlignment="1">
      <alignment horizontal="left" vertical="center" indent="1" shrinkToFit="1"/>
    </xf>
    <xf numFmtId="0" fontId="8" fillId="7" borderId="0" xfId="0" applyFont="1" applyFill="1" applyBorder="1" applyAlignment="1">
      <alignment horizontal="left" vertical="center" indent="1" shrinkToFit="1"/>
    </xf>
    <xf numFmtId="0" fontId="8" fillId="7" borderId="66" xfId="0" applyFont="1" applyFill="1" applyBorder="1" applyAlignment="1">
      <alignment horizontal="left" vertical="center" indent="1" shrinkToFit="1"/>
    </xf>
    <xf numFmtId="0" fontId="4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8" fillId="0" borderId="0" xfId="8" applyAlignment="1">
      <alignment vertical="center"/>
    </xf>
    <xf numFmtId="0" fontId="16" fillId="9" borderId="73" xfId="7" applyAlignment="1">
      <alignment horizontal="right"/>
    </xf>
    <xf numFmtId="0" fontId="18" fillId="0" borderId="75" xfId="8" applyBorder="1" applyAlignment="1">
      <alignment vertical="center"/>
    </xf>
  </cellXfs>
  <cellStyles count="15">
    <cellStyle name="Amount" xfId="9" xr:uid="{A8EBF174-44BA-4BF4-9F7D-6E3057465D56}"/>
    <cellStyle name="Currency" xfId="1" builtinId="4" customBuiltin="1"/>
    <cellStyle name="Date" xfId="12" xr:uid="{F7181D08-A42D-4C61-A33F-A6B629840C51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Heading 4 Right aligned" xfId="13" xr:uid="{A10A9720-61F4-4D40-8BFA-536BB1F839F9}"/>
    <cellStyle name="Input" xfId="7" builtinId="20"/>
    <cellStyle name="Loan Summary" xfId="10" xr:uid="{B1C652D2-0101-46B0-9BD3-E4A740F59909}"/>
    <cellStyle name="Normal" xfId="0" builtinId="0" customBuiltin="1"/>
    <cellStyle name="Number" xfId="11" xr:uid="{CF081EA6-F355-43FE-8C5B-AE2118C14E02}"/>
    <cellStyle name="Percent" xfId="2" builtinId="5"/>
    <cellStyle name="Table Amount" xfId="14" xr:uid="{7528D03E-3ED2-4A1A-B171-CBB20C4B9C3A}"/>
  </cellStyles>
  <dxfs count="169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/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>
        <left/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3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7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7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7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>
        <left/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relativeIndent="1" justifyLastLine="0" readingOrder="0"/>
      <border diagonalUp="0" diagonalDown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  <vertical/>
        <horizontal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  <border diagonalUp="0" diagonalDown="0"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  <border diagonalUp="0" diagonalDown="0" outline="0">
        <left/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b val="0"/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border diagonalUp="0" diagonalDown="0" outline="0">
        <left style="medium">
          <color theme="6" tint="0.79998168889431442"/>
        </left>
        <right style="medium">
          <color theme="6" tint="0.79998168889431442"/>
        </right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3" defaultTableStyle="TableStyleMedium9">
    <tableStyle name="Budget" pivot="0" count="3" xr9:uid="{00000000-0011-0000-FFFF-FFFF00000000}">
      <tableStyleElement type="headerRow" dxfId="168"/>
      <tableStyleElement type="totalRow" dxfId="167"/>
      <tableStyleElement type="firstColumn" dxfId="166"/>
    </tableStyle>
    <tableStyle name="Loan Amortization Schedule" pivot="0" count="7" xr9:uid="{F9D5D764-C2D2-45ED-956D-2A771A9437A9}">
      <tableStyleElement type="wholeTable" dxfId="165"/>
      <tableStyleElement type="headerRow" dxfId="164"/>
      <tableStyleElement type="totalRow" dxfId="163"/>
      <tableStyleElement type="firstColumn" dxfId="162"/>
      <tableStyleElement type="lastColumn" dxfId="161"/>
      <tableStyleElement type="firstRowStripe" dxfId="160"/>
      <tableStyleElement type="firstColumnStripe" dxfId="159"/>
    </tableStyle>
    <tableStyle name="Transportation" pivot="0" count="3" xr9:uid="{00000000-0011-0000-FFFF-FFFF01000000}">
      <tableStyleElement type="headerRow" dxfId="158"/>
      <tableStyleElement type="totalRow" dxfId="157"/>
      <tableStyleElement type="firstColumn" dxfId="156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an%20amortization%20schedu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"/>
      <sheetName val="Loan amortization schedule1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0:E21" totalsRowCount="1" headerRowDxfId="155" dataDxfId="153" totalsRowDxfId="151" headerRowBorderDxfId="154" tableBorderDxfId="152" totalsRowBorderDxfId="150">
  <autoFilter ref="B10:E2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Total" dataDxfId="149" totalsRowDxfId="148"/>
    <tableColumn id="2" xr3:uid="{00000000-0010-0000-0000-000002000000}" name="Projected Cost" totalsRowFunction="sum" dataDxfId="147" totalsRowDxfId="146"/>
    <tableColumn id="3" xr3:uid="{00000000-0010-0000-0000-000003000000}" name="Actual Cost" totalsRowFunction="sum" dataDxfId="145" totalsRowDxfId="144"/>
    <tableColumn id="4" xr3:uid="{00000000-0010-0000-0000-000004000000}" name="Difference" totalsRowFunction="sum" dataDxfId="143" totalsRowDxfId="142">
      <calculatedColumnFormula>Housing[[#This Row],[Projected Cost]]-Housing[[#This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, and icons are upd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avingsOrInvestment" displayName="SavingsOrInvestment" ref="G38:J42" totalsRowCount="1" headerRowDxfId="38" dataDxfId="36" totalsRowDxfId="34" headerRowBorderDxfId="37" tableBorderDxfId="35" totalsRowBorderDxfId="33">
  <autoFilter ref="G38:J41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SAVINGS OR INVESTMENTS" totalsRowLabel="Total" dataDxfId="32" totalsRowDxfId="31"/>
    <tableColumn id="2" xr3:uid="{00000000-0010-0000-0900-000002000000}" name="Projected Cost" totalsRowFunction="sum" dataDxfId="30" totalsRowDxfId="29"/>
    <tableColumn id="3" xr3:uid="{00000000-0010-0000-0900-000003000000}" name="Actual Cost" totalsRowFunction="sum" dataDxfId="28" totalsRowDxfId="27"/>
    <tableColumn id="4" xr3:uid="{00000000-0010-0000-0900-000004000000}" name="Difference" totalsRowFunction="sum" dataDxfId="26" totalsRowDxfId="25">
      <calculatedColumnFormula>SavingsOrInvestment[[#This Row],[Projected Cost]]-SavingsOrInvestment[[#This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, and icons are upd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PersonalCare" displayName="PersonalCare" ref="B54:E62" totalsRowCount="1" headerRowDxfId="24" dataDxfId="23" totalsRowDxfId="21" tableBorderDxfId="22">
  <autoFilter ref="B54:E6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PERSONAL CARE" totalsRowLabel="Total" dataDxfId="20" totalsRowDxfId="19"/>
    <tableColumn id="2" xr3:uid="{00000000-0010-0000-0A00-000002000000}" name="Projected Cost" totalsRowFunction="sum" dataDxfId="18" totalsRowDxfId="17"/>
    <tableColumn id="3" xr3:uid="{00000000-0010-0000-0A00-000003000000}" name="Actual Cost" totalsRowFunction="sum" dataDxfId="16" totalsRowDxfId="15"/>
    <tableColumn id="4" xr3:uid="{00000000-0010-0000-0A00-000004000000}" name="Difference" totalsRowFunction="sum" dataDxfId="14" totalsRowDxfId="13">
      <calculatedColumnFormula>PersonalCare[[#This Row],[Projected Cost]]-PersonalCare[[#This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, and icons are upd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Entertainment" displayName="Entertainment" ref="G10:J20" totalsRowCount="1" headerRowDxfId="12" dataDxfId="11" totalsRowDxfId="9" tableBorderDxfId="10">
  <autoFilter ref="G10:J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ENTERTAINMENT" totalsRowLabel="Total" dataDxfId="8" totalsRowDxfId="7"/>
    <tableColumn id="2" xr3:uid="{00000000-0010-0000-0B00-000002000000}" name="Projected Cost" totalsRowFunction="sum" dataDxfId="6" totalsRowDxfId="5"/>
    <tableColumn id="3" xr3:uid="{00000000-0010-0000-0B00-000003000000}" name="Actual Cost" totalsRowFunction="sum" dataDxfId="4" totalsRowDxfId="3"/>
    <tableColumn id="4" xr3:uid="{00000000-0010-0000-0B00-000004000000}" name="Difference" totalsRowFunction="sum" dataDxfId="2" totalsRowDxfId="1">
      <calculatedColumnFormula>Entertainment[[#This Row],[Projected Cost]]-Entertainment[[#This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, and icons are updated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8E49381-7466-4CBA-A7EC-E9B00BA72F98}" name="PaymentSchedule" displayName="PaymentSchedule" ref="B11:L371" totalsRowShown="0" headerRowCellStyle="Amount">
  <tableColumns count="11">
    <tableColumn id="1" xr3:uid="{D99D4A8A-60C9-47E7-9D8E-90981EA9DE32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88AEDFAD-11ED-4378-83AF-532ED52E4772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8BE9CE2B-1FB2-49C9-B3EB-F53AF3B1E2B5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352845DD-BA1B-4070-953C-9BD54A5E3B30}" name="SCHEDULED PAYMENT" dataCellStyle="Table Amount">
      <calculatedColumnFormula>IF(PaymentSchedule[[#This Row],[PMT NO]]&lt;&gt;"",ScheduledPayment,"")</calculatedColumnFormula>
    </tableColumn>
    <tableColumn id="5" xr3:uid="{C9D32DF9-E736-4E9A-86EA-B28530394FF1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1B468AAD-BD72-4B05-9493-0370550F1BF7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16A921AF-6729-498F-BB05-2BDBBAE2128B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4D81B625-5250-416F-B3C3-61D85887D2F7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C5240254-CA4B-4A4E-A5AA-C37211B877C3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A1BCD073-2EDA-4408-B722-208AFBB2B33E}" name="CUMULATIVE INTEREST" dataCellStyle="Table Amount">
      <calculatedColumnFormula>IF(PaymentSchedule[[#This Row],[PMT NO]]&lt;&gt;"",SUM(INDEX(PaymentSchedule[INTEREST],1,1):PaymentSchedule[[#This Row],[INTEREST]]),"")</calculatedColumnFormula>
    </tableColumn>
    <tableColumn id="11" xr3:uid="{098DCF44-10B4-4109-A119-8A337EC10E56}" name="Column1" dataCellStyle="Table Amount"/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Insurance" displayName="Insurance" ref="B33:E38" totalsRowCount="1" headerRowDxfId="141" dataDxfId="139" totalsRowDxfId="137" headerRowBorderDxfId="140" tableBorderDxfId="138" totalsRowBorderDxfId="136">
  <autoFilter ref="B33:E3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INSURANCE" totalsRowLabel="Total" dataDxfId="135" totalsRowDxfId="134"/>
    <tableColumn id="2" xr3:uid="{00000000-0010-0000-0100-000002000000}" name="Projected Cost" totalsRowFunction="sum" dataDxfId="133" totalsRowDxfId="132"/>
    <tableColumn id="3" xr3:uid="{00000000-0010-0000-0100-000003000000}" name="Actual Cost" totalsRowFunction="sum" dataDxfId="131" totalsRowDxfId="130"/>
    <tableColumn id="4" xr3:uid="{00000000-0010-0000-0100-000004000000}" name="Difference" totalsRowFunction="sum" dataDxfId="129" totalsRowDxfId="128">
      <calculatedColumnFormula>Insurance[[#This Row],[Projected Cost]]-Insurance[[#This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, and icon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gal" displayName="Legal" ref="G50:J55" totalsRowCount="1" headerRowDxfId="127" dataDxfId="125" totalsRowDxfId="123" headerRowBorderDxfId="126" tableBorderDxfId="124" totalsRowBorderDxfId="122">
  <autoFilter ref="G50:J54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EGAL" totalsRowLabel="Total" totalsRowDxfId="121"/>
    <tableColumn id="2" xr3:uid="{00000000-0010-0000-0200-000002000000}" name="Projected Cost" totalsRowFunction="sum" dataDxfId="120" totalsRowDxfId="119"/>
    <tableColumn id="3" xr3:uid="{00000000-0010-0000-0200-000003000000}" name="Actual Cost" totalsRowFunction="sum" dataDxfId="118" totalsRowDxfId="117"/>
    <tableColumn id="4" xr3:uid="{00000000-0010-0000-0200-000004000000}" name="Difference" totalsRowFunction="sum" dataDxfId="116" totalsRowDxfId="115">
      <calculatedColumnFormula>Legal[[#This Row],[Projected Cost]]-Legal[[#This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, and icons are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Pets" displayName="Pets" ref="B46:E52" totalsRowCount="1" headerRowDxfId="114" dataDxfId="112" totalsRowDxfId="110" headerRowBorderDxfId="113" tableBorderDxfId="111" totalsRowBorderDxfId="109">
  <autoFilter ref="B46:E51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PETS" totalsRowLabel="Total" dataDxfId="108" totalsRowDxfId="107"/>
    <tableColumn id="2" xr3:uid="{00000000-0010-0000-0300-000002000000}" name="Projected Cost" totalsRowFunction="sum" dataDxfId="106" totalsRowDxfId="105"/>
    <tableColumn id="3" xr3:uid="{00000000-0010-0000-0300-000003000000}" name="Actual Cost" totalsRowFunction="sum" dataDxfId="104" totalsRowDxfId="103"/>
    <tableColumn id="4" xr3:uid="{00000000-0010-0000-0300-000004000000}" name="Difference" totalsRowFunction="sum" dataDxfId="102" totalsRowDxfId="101">
      <calculatedColumnFormula>Pets[[#This Row],[Projected Cost]]-Pets[[#This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, and icons are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GiftsAndDonations" displayName="GiftsAndDonations" ref="G44:J48" totalsRowCount="1" headerRowDxfId="100" dataDxfId="99" totalsRowDxfId="97" tableBorderDxfId="98">
  <autoFilter ref="G44:J47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GIFTS AND DONATIONS" totalsRowLabel="Total" dataDxfId="96" totalsRowDxfId="95"/>
    <tableColumn id="2" xr3:uid="{00000000-0010-0000-0400-000002000000}" name="Projected Cost" totalsRowFunction="sum" dataDxfId="94" totalsRowDxfId="93"/>
    <tableColumn id="3" xr3:uid="{00000000-0010-0000-0400-000003000000}" name="Actual Cost" totalsRowFunction="sum" dataDxfId="92" totalsRowDxfId="91"/>
    <tableColumn id="4" xr3:uid="{00000000-0010-0000-0400-000004000000}" name="Difference" totalsRowFunction="sum" dataDxfId="90" totalsRowDxfId="89">
      <calculatedColumnFormula>GiftsAndDonations[[#This Row],[Projected Cost]]-GiftsAndDonations[[#This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, and icons are upd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ood" displayName="Food" ref="B40:E44" totalsRowCount="1" headerRowDxfId="88" dataDxfId="87" totalsRowDxfId="85" tableBorderDxfId="86">
  <autoFilter ref="B40:E43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FOOD" totalsRowLabel="Total" dataDxfId="84" totalsRowDxfId="83"/>
    <tableColumn id="2" xr3:uid="{00000000-0010-0000-0500-000002000000}" name="Projected Cost" totalsRowFunction="sum" dataDxfId="82" totalsRowDxfId="81"/>
    <tableColumn id="3" xr3:uid="{00000000-0010-0000-0500-000003000000}" name="Actual Cost" totalsRowFunction="sum" dataDxfId="80" totalsRowDxfId="79"/>
    <tableColumn id="4" xr3:uid="{00000000-0010-0000-0500-000004000000}" name="Difference" totalsRowFunction="sum" dataDxfId="78" totalsRowDxfId="77">
      <calculatedColumnFormula>Food[[#This Row],[Projected Cost]]-Food[[#This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, and icons are upd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xes" displayName="Taxes" ref="G31:J36" totalsRowCount="1" headerRowDxfId="76" dataDxfId="75" totalsRowDxfId="73" tableBorderDxfId="74">
  <autoFilter ref="G31:J35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TAXES" totalsRowLabel="Total" dataDxfId="72" totalsRowDxfId="71"/>
    <tableColumn id="2" xr3:uid="{00000000-0010-0000-0600-000002000000}" name="Projected Cost" totalsRowFunction="sum" dataDxfId="70" totalsRowDxfId="69"/>
    <tableColumn id="3" xr3:uid="{00000000-0010-0000-0600-000003000000}" name="Actual Cost" totalsRowFunction="sum" dataDxfId="68" totalsRowDxfId="67"/>
    <tableColumn id="4" xr3:uid="{00000000-0010-0000-0600-000004000000}" name="Difference" totalsRowFunction="sum" dataDxfId="66" totalsRowDxfId="65">
      <calculatedColumnFormula>Taxes[[#This Row],[Projected Cost]]-Taxes[[#This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, and icons are upd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ransportation" displayName="Transportation" ref="B23:E31" totalsRowCount="1" headerRowDxfId="64" dataDxfId="63" totalsRowDxfId="61" tableBorderDxfId="62">
  <autoFilter ref="B23:E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TRANSPORTATION" totalsRowLabel="Total" dataDxfId="60" totalsRowDxfId="59"/>
    <tableColumn id="2" xr3:uid="{00000000-0010-0000-0700-000002000000}" name="Projected Cost" totalsRowFunction="sum" dataDxfId="58" totalsRowDxfId="57"/>
    <tableColumn id="3" xr3:uid="{00000000-0010-0000-0700-000003000000}" name="Actual Cost" totalsRowFunction="sum" dataDxfId="56" totalsRowDxfId="55"/>
    <tableColumn id="4" xr3:uid="{00000000-0010-0000-0700-000004000000}" name="Difference" totalsRowFunction="sum" dataDxfId="54" totalsRowDxfId="53">
      <calculatedColumnFormula>Transportation[[#This Row],[Projected Cost]]-Transportation[[#This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, and icons are upd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Loans" displayName="Loans" ref="G22:J29" totalsRowCount="1" headerRowDxfId="52" dataDxfId="50" totalsRowDxfId="48" headerRowBorderDxfId="51" tableBorderDxfId="49" totalsRowBorderDxfId="47">
  <autoFilter ref="G22:J28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LOANS" totalsRowLabel="Total" dataDxfId="46" totalsRowDxfId="45"/>
    <tableColumn id="2" xr3:uid="{00000000-0010-0000-0800-000002000000}" name="Projected Cost" totalsRowFunction="sum" dataDxfId="44" totalsRowDxfId="43"/>
    <tableColumn id="3" xr3:uid="{00000000-0010-0000-0800-000003000000}" name="Actual Cost" totalsRowFunction="sum" dataDxfId="42" totalsRowDxfId="41"/>
    <tableColumn id="4" xr3:uid="{00000000-0010-0000-0800-000004000000}" name="Difference" totalsRowFunction="sum" dataDxfId="40" totalsRowDxfId="39">
      <calculatedColumnFormula>Loans[[#This Row],[Projected Cost]]-Loans[[#This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, and icons are updated"/>
    </ext>
  </extLst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2F4158"/>
      </a:dk2>
      <a:lt2>
        <a:srgbClr val="F2F2F2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63"/>
  <sheetViews>
    <sheetView showGridLines="0" tabSelected="1" workbookViewId="0">
      <selection activeCell="E3" sqref="E3"/>
    </sheetView>
  </sheetViews>
  <sheetFormatPr defaultRowHeight="12.75" x14ac:dyDescent="0.2"/>
  <cols>
    <col min="1" max="1" width="2.28515625" customWidth="1"/>
    <col min="2" max="2" width="30.140625" customWidth="1"/>
    <col min="3" max="5" width="16.5703125" customWidth="1"/>
    <col min="6" max="6" width="4.42578125" customWidth="1"/>
    <col min="7" max="7" width="32.42578125" customWidth="1"/>
    <col min="8" max="10" width="16.5703125" customWidth="1"/>
  </cols>
  <sheetData>
    <row r="1" spans="1:11" ht="71.45" customHeight="1" x14ac:dyDescent="0.2">
      <c r="A1" s="10"/>
      <c r="B1" s="180" t="s">
        <v>38</v>
      </c>
      <c r="C1" s="180"/>
      <c r="D1" s="180"/>
      <c r="E1" s="180"/>
      <c r="F1" s="180"/>
      <c r="G1" s="180"/>
      <c r="H1" s="180"/>
      <c r="I1" s="180"/>
      <c r="J1" s="180"/>
    </row>
    <row r="2" spans="1:11" s="7" customFormat="1" ht="20.100000000000001" customHeight="1" x14ac:dyDescent="0.2">
      <c r="A2" s="3"/>
      <c r="B2" s="8"/>
      <c r="C2" s="6"/>
      <c r="D2" s="6"/>
      <c r="E2" s="6"/>
      <c r="F2" s="6"/>
      <c r="G2" s="6"/>
      <c r="H2" s="6"/>
      <c r="I2" s="6"/>
      <c r="J2" s="6"/>
    </row>
    <row r="3" spans="1:11" ht="18" customHeight="1" x14ac:dyDescent="0.2">
      <c r="A3" s="1"/>
      <c r="B3" s="192" t="s">
        <v>60</v>
      </c>
      <c r="C3" s="183" t="s">
        <v>105</v>
      </c>
      <c r="D3" s="184"/>
      <c r="E3" s="43">
        <v>4000</v>
      </c>
      <c r="F3" s="5"/>
      <c r="G3" s="148" t="s">
        <v>65</v>
      </c>
      <c r="H3" s="198" t="s">
        <v>62</v>
      </c>
      <c r="I3" s="199"/>
      <c r="J3" s="154">
        <f>SUM(C21,C31,C38,C44,C52,C62,H20,H29,H36,H42,H48,H55)</f>
        <v>3823</v>
      </c>
    </row>
    <row r="4" spans="1:11" ht="18" customHeight="1" thickBot="1" x14ac:dyDescent="0.25">
      <c r="A4" s="1"/>
      <c r="B4" s="190"/>
      <c r="C4" s="185" t="s">
        <v>104</v>
      </c>
      <c r="D4" s="186"/>
      <c r="E4" s="44">
        <v>0</v>
      </c>
      <c r="F4" s="5"/>
      <c r="G4" s="158" t="s">
        <v>66</v>
      </c>
      <c r="H4" s="200" t="s">
        <v>63</v>
      </c>
      <c r="I4" s="201"/>
      <c r="J4" s="155">
        <f>SUM(D21,D31,D38,D44,D52,D62,I20,I29,I36,I42,I48,I55)</f>
        <v>0</v>
      </c>
    </row>
    <row r="5" spans="1:11" ht="18" customHeight="1" thickBot="1" x14ac:dyDescent="0.25">
      <c r="A5" s="1"/>
      <c r="B5" s="193"/>
      <c r="C5" s="181" t="s">
        <v>39</v>
      </c>
      <c r="D5" s="182"/>
      <c r="E5" s="45">
        <f>SUM(E3:E4)</f>
        <v>4000</v>
      </c>
      <c r="F5" s="5"/>
      <c r="G5" s="196" t="s">
        <v>64</v>
      </c>
      <c r="H5" s="196"/>
      <c r="I5" s="197"/>
      <c r="J5" s="153">
        <f>SUM(E21,E31,E38,E44,E52,E62,J20,J29,J36,J42,J48,J55)</f>
        <v>3823</v>
      </c>
      <c r="K5" s="11"/>
    </row>
    <row r="6" spans="1:11" ht="18" customHeight="1" x14ac:dyDescent="0.2">
      <c r="A6" s="1"/>
      <c r="B6" s="189" t="s">
        <v>59</v>
      </c>
      <c r="C6" s="183" t="s">
        <v>105</v>
      </c>
      <c r="D6" s="184"/>
      <c r="E6" s="9">
        <v>0</v>
      </c>
      <c r="F6" s="5"/>
      <c r="G6" s="152" t="s">
        <v>67</v>
      </c>
      <c r="H6" s="198" t="s">
        <v>62</v>
      </c>
      <c r="I6" s="199"/>
      <c r="J6" s="160">
        <f>E5-J3</f>
        <v>177</v>
      </c>
    </row>
    <row r="7" spans="1:11" ht="18" customHeight="1" thickBot="1" x14ac:dyDescent="0.25">
      <c r="A7" s="1"/>
      <c r="B7" s="190"/>
      <c r="C7" s="185" t="s">
        <v>104</v>
      </c>
      <c r="D7" s="186"/>
      <c r="E7" s="47">
        <v>0</v>
      </c>
      <c r="F7" s="5"/>
      <c r="G7" s="157" t="s">
        <v>68</v>
      </c>
      <c r="H7" s="200" t="s">
        <v>63</v>
      </c>
      <c r="I7" s="201"/>
      <c r="J7" s="156">
        <f>E8-J4</f>
        <v>0</v>
      </c>
      <c r="K7" s="11"/>
    </row>
    <row r="8" spans="1:11" ht="18" customHeight="1" thickBot="1" x14ac:dyDescent="0.25">
      <c r="A8" s="1"/>
      <c r="B8" s="191"/>
      <c r="C8" s="187" t="s">
        <v>39</v>
      </c>
      <c r="D8" s="188"/>
      <c r="E8" s="46">
        <f>SUM(E6:E7)</f>
        <v>0</v>
      </c>
      <c r="F8" s="5"/>
      <c r="G8" s="194" t="s">
        <v>69</v>
      </c>
      <c r="H8" s="194"/>
      <c r="I8" s="195"/>
      <c r="J8" s="159">
        <f>J7-J6</f>
        <v>-177</v>
      </c>
      <c r="K8" s="11"/>
    </row>
    <row r="9" spans="1:11" ht="20.100000000000001" customHeight="1" thickBot="1" x14ac:dyDescent="0.25">
      <c r="A9" s="1"/>
      <c r="B9" s="144"/>
      <c r="C9" s="144"/>
      <c r="D9" s="144"/>
      <c r="E9" s="150"/>
      <c r="F9" s="5"/>
      <c r="G9" s="151"/>
      <c r="H9" s="151"/>
      <c r="I9" s="151"/>
      <c r="J9" s="149"/>
    </row>
    <row r="10" spans="1:11" ht="18" customHeight="1" thickBot="1" x14ac:dyDescent="0.25">
      <c r="A10" s="1"/>
      <c r="B10" s="13" t="s">
        <v>47</v>
      </c>
      <c r="C10" s="16" t="s">
        <v>0</v>
      </c>
      <c r="D10" s="16" t="s">
        <v>1</v>
      </c>
      <c r="E10" s="17" t="s">
        <v>2</v>
      </c>
      <c r="F10" s="18"/>
      <c r="G10" s="14" t="s">
        <v>48</v>
      </c>
      <c r="H10" s="48" t="s">
        <v>0</v>
      </c>
      <c r="I10" s="49" t="s">
        <v>1</v>
      </c>
      <c r="J10" s="50" t="s">
        <v>2</v>
      </c>
    </row>
    <row r="11" spans="1:11" ht="18" customHeight="1" thickBot="1" x14ac:dyDescent="0.25">
      <c r="A11" s="1"/>
      <c r="B11" s="71" t="s">
        <v>3</v>
      </c>
      <c r="C11" s="72">
        <v>1000</v>
      </c>
      <c r="D11" s="73">
        <v>0</v>
      </c>
      <c r="E11" s="74">
        <f>Housing[[#This Row],[Projected Cost]]-Housing[[#This Row],[Actual Cost]]</f>
        <v>1000</v>
      </c>
      <c r="F11" s="12"/>
      <c r="G11" s="51" t="s">
        <v>101</v>
      </c>
      <c r="H11" s="52">
        <v>200</v>
      </c>
      <c r="I11" s="52"/>
      <c r="J11" s="52">
        <f>Entertainment[[#This Row],[Projected Cost]]-Entertainment[[#This Row],[Actual Cost]]</f>
        <v>200</v>
      </c>
    </row>
    <row r="12" spans="1:11" ht="18" customHeight="1" thickBot="1" x14ac:dyDescent="0.25">
      <c r="A12" s="1"/>
      <c r="B12" s="75" t="s">
        <v>95</v>
      </c>
      <c r="C12" s="76">
        <v>60</v>
      </c>
      <c r="D12" s="76"/>
      <c r="E12" s="76">
        <f>Housing[[#This Row],[Projected Cost]]-Housing[[#This Row],[Actual Cost]]</f>
        <v>60</v>
      </c>
      <c r="F12" s="4"/>
      <c r="G12" s="53" t="s">
        <v>103</v>
      </c>
      <c r="H12" s="54"/>
      <c r="I12" s="54"/>
      <c r="J12" s="54">
        <f>Entertainment[[#This Row],[Projected Cost]]-Entertainment[[#This Row],[Actual Cost]]</f>
        <v>0</v>
      </c>
    </row>
    <row r="13" spans="1:11" ht="18" customHeight="1" thickBot="1" x14ac:dyDescent="0.25">
      <c r="A13" s="2"/>
      <c r="B13" s="71" t="s">
        <v>41</v>
      </c>
      <c r="C13" s="77">
        <v>35</v>
      </c>
      <c r="D13" s="78"/>
      <c r="E13" s="78">
        <f>Housing[[#This Row],[Projected Cost]]-Housing[[#This Row],[Actual Cost]]</f>
        <v>35</v>
      </c>
      <c r="F13" s="4"/>
      <c r="G13" s="55" t="s">
        <v>26</v>
      </c>
      <c r="H13" s="52">
        <v>0</v>
      </c>
      <c r="I13" s="56"/>
      <c r="J13" s="56">
        <f>Entertainment[[#This Row],[Projected Cost]]-Entertainment[[#This Row],[Actual Cost]]</f>
        <v>0</v>
      </c>
    </row>
    <row r="14" spans="1:11" ht="18" customHeight="1" thickBot="1" x14ac:dyDescent="0.25">
      <c r="A14" s="1"/>
      <c r="B14" s="75" t="s">
        <v>4</v>
      </c>
      <c r="C14" s="79">
        <v>0</v>
      </c>
      <c r="D14" s="76"/>
      <c r="E14" s="76">
        <f>Housing[[#This Row],[Projected Cost]]-Housing[[#This Row],[Actual Cost]]</f>
        <v>0</v>
      </c>
      <c r="F14" s="4"/>
      <c r="G14" s="57" t="s">
        <v>27</v>
      </c>
      <c r="H14" s="58"/>
      <c r="I14" s="58"/>
      <c r="J14" s="54">
        <f>Entertainment[[#This Row],[Projected Cost]]-Entertainment[[#This Row],[Actual Cost]]</f>
        <v>0</v>
      </c>
    </row>
    <row r="15" spans="1:11" ht="18" customHeight="1" thickBot="1" x14ac:dyDescent="0.25">
      <c r="A15" s="1"/>
      <c r="B15" s="71" t="s">
        <v>5</v>
      </c>
      <c r="C15" s="78">
        <v>25</v>
      </c>
      <c r="D15" s="78"/>
      <c r="E15" s="78">
        <f>Housing[[#This Row],[Projected Cost]]-Housing[[#This Row],[Actual Cost]]</f>
        <v>25</v>
      </c>
      <c r="F15" s="4"/>
      <c r="G15" s="51" t="s">
        <v>43</v>
      </c>
      <c r="H15" s="56"/>
      <c r="I15" s="56"/>
      <c r="J15" s="59">
        <f>Entertainment[[#This Row],[Projected Cost]]-Entertainment[[#This Row],[Actual Cost]]</f>
        <v>0</v>
      </c>
    </row>
    <row r="16" spans="1:11" ht="18" customHeight="1" thickBot="1" x14ac:dyDescent="0.25">
      <c r="A16" s="1"/>
      <c r="B16" s="75" t="s">
        <v>96</v>
      </c>
      <c r="C16" s="76">
        <v>0</v>
      </c>
      <c r="D16" s="80"/>
      <c r="E16" s="76">
        <f>Housing[[#This Row],[Projected Cost]]-Housing[[#This Row],[Actual Cost]]</f>
        <v>0</v>
      </c>
      <c r="F16" s="4"/>
      <c r="G16" s="57" t="s">
        <v>28</v>
      </c>
      <c r="H16" s="60"/>
      <c r="I16" s="60"/>
      <c r="J16" s="61">
        <f>Entertainment[[#This Row],[Projected Cost]]-Entertainment[[#This Row],[Actual Cost]]</f>
        <v>0</v>
      </c>
    </row>
    <row r="17" spans="1:10" ht="18" customHeight="1" thickBot="1" x14ac:dyDescent="0.25">
      <c r="A17" s="1"/>
      <c r="B17" s="71" t="s">
        <v>6</v>
      </c>
      <c r="C17" s="78">
        <v>0</v>
      </c>
      <c r="D17" s="77"/>
      <c r="E17" s="77">
        <f>Housing[[#This Row],[Projected Cost]]-Housing[[#This Row],[Actual Cost]]</f>
        <v>0</v>
      </c>
      <c r="F17" s="4"/>
      <c r="G17" s="62" t="s">
        <v>9</v>
      </c>
      <c r="H17" s="63"/>
      <c r="I17" s="63"/>
      <c r="J17" s="64">
        <f>Entertainment[[#This Row],[Projected Cost]]-Entertainment[[#This Row],[Actual Cost]]</f>
        <v>0</v>
      </c>
    </row>
    <row r="18" spans="1:10" ht="18" customHeight="1" thickBot="1" x14ac:dyDescent="0.25">
      <c r="A18" s="1"/>
      <c r="B18" s="75" t="s">
        <v>7</v>
      </c>
      <c r="C18" s="76">
        <v>0</v>
      </c>
      <c r="D18" s="81"/>
      <c r="E18" s="76">
        <f>Housing[[#This Row],[Projected Cost]]-Housing[[#This Row],[Actual Cost]]</f>
        <v>0</v>
      </c>
      <c r="F18" s="4"/>
      <c r="G18" s="57" t="s">
        <v>9</v>
      </c>
      <c r="H18" s="54"/>
      <c r="I18" s="54"/>
      <c r="J18" s="65">
        <f>Entertainment[[#This Row],[Projected Cost]]-Entertainment[[#This Row],[Actual Cost]]</f>
        <v>0</v>
      </c>
    </row>
    <row r="19" spans="1:10" ht="18" customHeight="1" thickBot="1" x14ac:dyDescent="0.25">
      <c r="A19" s="1"/>
      <c r="B19" s="82" t="s">
        <v>8</v>
      </c>
      <c r="C19" s="83">
        <v>0</v>
      </c>
      <c r="D19" s="83"/>
      <c r="E19" s="77">
        <f>Housing[[#This Row],[Projected Cost]]-Housing[[#This Row],[Actual Cost]]</f>
        <v>0</v>
      </c>
      <c r="F19" s="4"/>
      <c r="G19" s="51" t="s">
        <v>9</v>
      </c>
      <c r="H19" s="52"/>
      <c r="I19" s="52"/>
      <c r="J19" s="66">
        <f>Entertainment[[#This Row],[Projected Cost]]-Entertainment[[#This Row],[Actual Cost]]</f>
        <v>0</v>
      </c>
    </row>
    <row r="20" spans="1:10" ht="18" customHeight="1" thickBot="1" x14ac:dyDescent="0.25">
      <c r="A20" s="1"/>
      <c r="B20" s="84" t="s">
        <v>9</v>
      </c>
      <c r="C20" s="85"/>
      <c r="D20" s="85"/>
      <c r="E20" s="86">
        <f>Housing[[#This Row],[Projected Cost]]-Housing[[#This Row],[Actual Cost]]</f>
        <v>0</v>
      </c>
      <c r="F20" s="4"/>
      <c r="G20" s="67" t="s">
        <v>61</v>
      </c>
      <c r="H20" s="68">
        <f>SUBTOTAL(109,Entertainment[Projected Cost])</f>
        <v>200</v>
      </c>
      <c r="I20" s="69">
        <f>SUBTOTAL(109,Entertainment[Actual Cost])</f>
        <v>0</v>
      </c>
      <c r="J20" s="70">
        <f>SUBTOTAL(109,Entertainment[Difference])</f>
        <v>200</v>
      </c>
    </row>
    <row r="21" spans="1:10" ht="18" customHeight="1" thickBot="1" x14ac:dyDescent="0.25">
      <c r="A21" s="1"/>
      <c r="B21" s="34" t="s">
        <v>61</v>
      </c>
      <c r="C21" s="36">
        <f>SUBTOTAL(109,Housing[Projected Cost])</f>
        <v>1120</v>
      </c>
      <c r="D21" s="37">
        <f>SUBTOTAL(109,Housing[Actual Cost])</f>
        <v>0</v>
      </c>
      <c r="E21" s="35">
        <f>SUBTOTAL(109,Housing[Difference])</f>
        <v>1120</v>
      </c>
      <c r="F21" s="4"/>
      <c r="G21" s="206"/>
      <c r="H21" s="206"/>
      <c r="I21" s="206"/>
      <c r="J21" s="206"/>
    </row>
    <row r="22" spans="1:10" ht="18" customHeight="1" thickBot="1" x14ac:dyDescent="0.25">
      <c r="A22" s="1"/>
      <c r="B22" s="204"/>
      <c r="C22" s="204"/>
      <c r="D22" s="204"/>
      <c r="E22" s="204"/>
      <c r="F22" s="4"/>
      <c r="G22" s="15" t="s">
        <v>49</v>
      </c>
      <c r="H22" s="31" t="s">
        <v>0</v>
      </c>
      <c r="I22" s="31" t="s">
        <v>1</v>
      </c>
      <c r="J22" s="30" t="s">
        <v>2</v>
      </c>
    </row>
    <row r="23" spans="1:10" ht="18" customHeight="1" thickBot="1" x14ac:dyDescent="0.25">
      <c r="A23" s="1"/>
      <c r="B23" s="87" t="s">
        <v>50</v>
      </c>
      <c r="C23" s="48" t="s">
        <v>0</v>
      </c>
      <c r="D23" s="49" t="s">
        <v>1</v>
      </c>
      <c r="E23" s="49" t="s">
        <v>2</v>
      </c>
      <c r="F23" s="4"/>
      <c r="G23" s="71" t="s">
        <v>30</v>
      </c>
      <c r="H23" s="97">
        <v>0</v>
      </c>
      <c r="I23" s="98"/>
      <c r="J23" s="99">
        <f>Loans[[#This Row],[Projected Cost]]-Loans[[#This Row],[Actual Cost]]</f>
        <v>0</v>
      </c>
    </row>
    <row r="24" spans="1:10" ht="18" customHeight="1" thickBot="1" x14ac:dyDescent="0.25">
      <c r="A24" s="1"/>
      <c r="B24" s="51" t="s">
        <v>42</v>
      </c>
      <c r="C24" s="88">
        <v>300</v>
      </c>
      <c r="D24" s="88"/>
      <c r="E24" s="88">
        <f>Transportation[[#This Row],[Projected Cost]]-Transportation[[#This Row],[Actual Cost]]</f>
        <v>300</v>
      </c>
      <c r="F24" s="4"/>
      <c r="G24" s="100" t="s">
        <v>37</v>
      </c>
      <c r="H24" s="101">
        <v>0</v>
      </c>
      <c r="I24" s="102"/>
      <c r="J24" s="101">
        <f>Loans[[#This Row],[Projected Cost]]-Loans[[#This Row],[Actual Cost]]</f>
        <v>0</v>
      </c>
    </row>
    <row r="25" spans="1:10" ht="18" customHeight="1" thickBot="1" x14ac:dyDescent="0.25">
      <c r="A25" s="1"/>
      <c r="B25" s="57" t="s">
        <v>97</v>
      </c>
      <c r="C25" s="89">
        <v>0</v>
      </c>
      <c r="D25" s="89"/>
      <c r="E25" s="89">
        <f>Transportation[[#This Row],[Projected Cost]]-Transportation[[#This Row],[Actual Cost]]</f>
        <v>0</v>
      </c>
      <c r="F25" s="4"/>
      <c r="G25" s="103" t="s">
        <v>44</v>
      </c>
      <c r="H25" s="104">
        <v>0</v>
      </c>
      <c r="I25" s="105"/>
      <c r="J25" s="98">
        <f>Loans[[#This Row],[Projected Cost]]-Loans[[#This Row],[Actual Cost]]</f>
        <v>0</v>
      </c>
    </row>
    <row r="26" spans="1:10" ht="18" customHeight="1" thickBot="1" x14ac:dyDescent="0.25">
      <c r="A26" s="1"/>
      <c r="B26" s="62" t="s">
        <v>10</v>
      </c>
      <c r="C26" s="90">
        <v>150</v>
      </c>
      <c r="D26" s="90"/>
      <c r="E26" s="90">
        <f>Transportation[[#This Row],[Projected Cost]]-Transportation[[#This Row],[Actual Cost]]</f>
        <v>150</v>
      </c>
      <c r="F26" s="4"/>
      <c r="G26" s="75" t="s">
        <v>44</v>
      </c>
      <c r="H26" s="101"/>
      <c r="I26" s="102"/>
      <c r="J26" s="101">
        <f>Loans[[#This Row],[Projected Cost]]-Loans[[#This Row],[Actual Cost]]</f>
        <v>0</v>
      </c>
    </row>
    <row r="27" spans="1:10" ht="18" customHeight="1" thickBot="1" x14ac:dyDescent="0.25">
      <c r="A27" s="1"/>
      <c r="B27" s="57" t="s">
        <v>11</v>
      </c>
      <c r="C27" s="91">
        <v>0</v>
      </c>
      <c r="D27" s="91"/>
      <c r="E27" s="91">
        <f>Transportation[[#This Row],[Projected Cost]]-Transportation[[#This Row],[Actual Cost]]</f>
        <v>0</v>
      </c>
      <c r="F27" s="4"/>
      <c r="G27" s="106" t="s">
        <v>44</v>
      </c>
      <c r="H27" s="104"/>
      <c r="I27" s="105"/>
      <c r="J27" s="107">
        <f>Loans[[#This Row],[Projected Cost]]-Loans[[#This Row],[Actual Cost]]</f>
        <v>0</v>
      </c>
    </row>
    <row r="28" spans="1:10" ht="18" customHeight="1" thickBot="1" x14ac:dyDescent="0.25">
      <c r="A28" s="1"/>
      <c r="B28" s="92" t="s">
        <v>12</v>
      </c>
      <c r="C28" s="90">
        <v>75</v>
      </c>
      <c r="D28" s="90"/>
      <c r="E28" s="90">
        <f>Transportation[[#This Row],[Projected Cost]]-Transportation[[#This Row],[Actual Cost]]</f>
        <v>75</v>
      </c>
      <c r="F28" s="4"/>
      <c r="G28" s="108" t="s">
        <v>9</v>
      </c>
      <c r="H28" s="109"/>
      <c r="I28" s="110"/>
      <c r="J28" s="109">
        <f>Loans[[#This Row],[Projected Cost]]-Loans[[#This Row],[Actual Cost]]</f>
        <v>0</v>
      </c>
    </row>
    <row r="29" spans="1:10" ht="18" customHeight="1" thickBot="1" x14ac:dyDescent="0.25">
      <c r="A29" s="1"/>
      <c r="B29" s="93" t="s">
        <v>13</v>
      </c>
      <c r="C29" s="91">
        <v>0</v>
      </c>
      <c r="D29" s="91"/>
      <c r="E29" s="91">
        <f>Transportation[[#This Row],[Projected Cost]]-Transportation[[#This Row],[Actual Cost]]</f>
        <v>0</v>
      </c>
      <c r="F29" s="4"/>
      <c r="G29" s="15" t="s">
        <v>61</v>
      </c>
      <c r="H29" s="32">
        <f>SUBTOTAL(109,Loans[Projected Cost])</f>
        <v>0</v>
      </c>
      <c r="I29" s="24">
        <f>SUBTOTAL(109,Loans[Actual Cost])</f>
        <v>0</v>
      </c>
      <c r="J29" s="33">
        <f>SUBTOTAL(109,Loans[Difference])</f>
        <v>0</v>
      </c>
    </row>
    <row r="30" spans="1:10" ht="18" customHeight="1" x14ac:dyDescent="0.2">
      <c r="A30" s="1"/>
      <c r="B30" s="62" t="s">
        <v>9</v>
      </c>
      <c r="C30" s="94"/>
      <c r="D30" s="95"/>
      <c r="E30" s="94">
        <f>Transportation[[#This Row],[Projected Cost]]-Transportation[[#This Row],[Actual Cost]]</f>
        <v>0</v>
      </c>
      <c r="F30" s="4"/>
      <c r="G30" s="202"/>
      <c r="H30" s="202"/>
      <c r="I30" s="202"/>
      <c r="J30" s="202"/>
    </row>
    <row r="31" spans="1:10" ht="18" customHeight="1" x14ac:dyDescent="0.2">
      <c r="A31" s="1"/>
      <c r="B31" s="67" t="s">
        <v>61</v>
      </c>
      <c r="C31" s="96">
        <f>SUBTOTAL(109,Transportation[Projected Cost])</f>
        <v>525</v>
      </c>
      <c r="D31" s="96">
        <f>SUBTOTAL(109,Transportation[Actual Cost])</f>
        <v>0</v>
      </c>
      <c r="E31" s="96">
        <f>SUBTOTAL(109,Transportation[Difference])</f>
        <v>525</v>
      </c>
      <c r="F31" s="12"/>
      <c r="G31" s="87" t="s">
        <v>51</v>
      </c>
      <c r="H31" s="48" t="s">
        <v>0</v>
      </c>
      <c r="I31" s="48" t="s">
        <v>1</v>
      </c>
      <c r="J31" s="48" t="s">
        <v>2</v>
      </c>
    </row>
    <row r="32" spans="1:10" ht="18" customHeight="1" thickBot="1" x14ac:dyDescent="0.25">
      <c r="A32" s="1"/>
      <c r="B32" s="205"/>
      <c r="C32" s="205"/>
      <c r="D32" s="205"/>
      <c r="E32" s="205"/>
      <c r="F32" s="12"/>
      <c r="G32" s="51" t="s">
        <v>31</v>
      </c>
      <c r="H32" s="94">
        <f>+E5*0.2</f>
        <v>800</v>
      </c>
      <c r="I32" s="94"/>
      <c r="J32" s="94">
        <f>Taxes[[#This Row],[Projected Cost]]-Taxes[[#This Row],[Actual Cost]]</f>
        <v>800</v>
      </c>
    </row>
    <row r="33" spans="1:10" ht="18" customHeight="1" thickBot="1" x14ac:dyDescent="0.25">
      <c r="A33" s="1"/>
      <c r="B33" s="15" t="s">
        <v>52</v>
      </c>
      <c r="C33" s="28" t="s">
        <v>0</v>
      </c>
      <c r="D33" s="25" t="s">
        <v>1</v>
      </c>
      <c r="E33" s="20" t="s">
        <v>2</v>
      </c>
      <c r="F33" s="12"/>
      <c r="G33" s="111" t="s">
        <v>32</v>
      </c>
      <c r="H33" s="112">
        <f>+E5*0.032</f>
        <v>128</v>
      </c>
      <c r="I33" s="113"/>
      <c r="J33" s="113">
        <f>Taxes[[#This Row],[Projected Cost]]-Taxes[[#This Row],[Actual Cost]]</f>
        <v>128</v>
      </c>
    </row>
    <row r="34" spans="1:10" ht="18" customHeight="1" thickBot="1" x14ac:dyDescent="0.25">
      <c r="A34" s="40"/>
      <c r="B34" s="114" t="s">
        <v>14</v>
      </c>
      <c r="C34" s="99">
        <v>0</v>
      </c>
      <c r="D34" s="115"/>
      <c r="E34" s="97">
        <f>Insurance[[#This Row],[Projected Cost]]-Insurance[[#This Row],[Actual Cost]]</f>
        <v>0</v>
      </c>
      <c r="F34" s="12"/>
      <c r="G34" s="92" t="s">
        <v>33</v>
      </c>
      <c r="H34" s="90">
        <f>+E5*0.01</f>
        <v>40</v>
      </c>
      <c r="I34" s="95"/>
      <c r="J34" s="95">
        <f>Taxes[[#This Row],[Projected Cost]]-Taxes[[#This Row],[Actual Cost]]</f>
        <v>40</v>
      </c>
    </row>
    <row r="35" spans="1:10" ht="18" customHeight="1" thickBot="1" x14ac:dyDescent="0.25">
      <c r="A35" s="40"/>
      <c r="B35" s="116" t="s">
        <v>15</v>
      </c>
      <c r="C35" s="101">
        <v>100</v>
      </c>
      <c r="D35" s="117"/>
      <c r="E35" s="118">
        <f>Insurance[[#This Row],[Projected Cost]]-Insurance[[#This Row],[Actual Cost]]</f>
        <v>100</v>
      </c>
      <c r="F35" s="12"/>
      <c r="G35" s="111" t="s">
        <v>9</v>
      </c>
      <c r="H35" s="113">
        <v>0</v>
      </c>
      <c r="I35" s="113"/>
      <c r="J35" s="113">
        <f>Taxes[[#This Row],[Projected Cost]]-Taxes[[#This Row],[Actual Cost]]</f>
        <v>0</v>
      </c>
    </row>
    <row r="36" spans="1:10" ht="18" customHeight="1" thickBot="1" x14ac:dyDescent="0.25">
      <c r="A36" s="40"/>
      <c r="B36" s="119" t="s">
        <v>16</v>
      </c>
      <c r="C36" s="98">
        <v>0</v>
      </c>
      <c r="D36" s="120"/>
      <c r="E36" s="98">
        <f>Insurance[[#This Row],[Projected Cost]]-Insurance[[#This Row],[Actual Cost]]</f>
        <v>0</v>
      </c>
      <c r="F36" s="12"/>
      <c r="G36" s="67" t="s">
        <v>61</v>
      </c>
      <c r="H36" s="96">
        <f>SUBTOTAL(109,Taxes[Projected Cost])</f>
        <v>968</v>
      </c>
      <c r="I36" s="96">
        <f>SUBTOTAL(109,Taxes[Actual Cost])</f>
        <v>0</v>
      </c>
      <c r="J36" s="96">
        <f>SUBTOTAL(109,Taxes[Difference])</f>
        <v>968</v>
      </c>
    </row>
    <row r="37" spans="1:10" ht="18" customHeight="1" thickBot="1" x14ac:dyDescent="0.25">
      <c r="A37" s="40"/>
      <c r="B37" s="121" t="s">
        <v>9</v>
      </c>
      <c r="C37" s="109"/>
      <c r="D37" s="122"/>
      <c r="E37" s="109">
        <f>Insurance[[#This Row],[Projected Cost]]-Insurance[[#This Row],[Actual Cost]]</f>
        <v>0</v>
      </c>
      <c r="F37" s="4"/>
      <c r="G37" s="202"/>
      <c r="H37" s="202"/>
      <c r="I37" s="202"/>
      <c r="J37" s="202"/>
    </row>
    <row r="38" spans="1:10" ht="18" customHeight="1" thickBot="1" x14ac:dyDescent="0.25">
      <c r="A38" s="1"/>
      <c r="B38" s="15" t="s">
        <v>61</v>
      </c>
      <c r="C38" s="29">
        <f>SUBTOTAL(109,Insurance[Projected Cost])</f>
        <v>100</v>
      </c>
      <c r="D38" s="27">
        <f>SUBTOTAL(109,Insurance[Actual Cost])</f>
        <v>0</v>
      </c>
      <c r="E38" s="22">
        <f>SUBTOTAL(109,Insurance[Difference])</f>
        <v>100</v>
      </c>
      <c r="F38" s="4"/>
      <c r="G38" s="38" t="s">
        <v>54</v>
      </c>
      <c r="H38" s="39" t="s">
        <v>0</v>
      </c>
      <c r="I38" s="19" t="s">
        <v>1</v>
      </c>
      <c r="J38" s="20" t="s">
        <v>2</v>
      </c>
    </row>
    <row r="39" spans="1:10" ht="18" customHeight="1" thickBot="1" x14ac:dyDescent="0.25">
      <c r="A39" s="1"/>
      <c r="B39" s="202"/>
      <c r="C39" s="202"/>
      <c r="D39" s="202"/>
      <c r="E39" s="202"/>
      <c r="F39" s="41"/>
      <c r="G39" s="127" t="s">
        <v>45</v>
      </c>
      <c r="H39" s="97">
        <f>+E5*0.05</f>
        <v>200</v>
      </c>
      <c r="I39" s="124"/>
      <c r="J39" s="128">
        <f>SavingsOrInvestment[[#This Row],[Projected Cost]]-SavingsOrInvestment[[#This Row],[Actual Cost]]</f>
        <v>200</v>
      </c>
    </row>
    <row r="40" spans="1:10" ht="18" customHeight="1" thickBot="1" x14ac:dyDescent="0.25">
      <c r="A40" s="1"/>
      <c r="B40" s="87" t="s">
        <v>53</v>
      </c>
      <c r="C40" s="123" t="s">
        <v>0</v>
      </c>
      <c r="D40" s="48" t="s">
        <v>1</v>
      </c>
      <c r="E40" s="48" t="s">
        <v>2</v>
      </c>
      <c r="F40" s="41"/>
      <c r="G40" s="75" t="s">
        <v>46</v>
      </c>
      <c r="H40" s="129"/>
      <c r="I40" s="101"/>
      <c r="J40" s="101">
        <f>SavingsOrInvestment[[#This Row],[Projected Cost]]-SavingsOrInvestment[[#This Row],[Actual Cost]]</f>
        <v>0</v>
      </c>
    </row>
    <row r="41" spans="1:10" ht="18" customHeight="1" thickBot="1" x14ac:dyDescent="0.25">
      <c r="A41" s="1"/>
      <c r="B41" s="51" t="s">
        <v>17</v>
      </c>
      <c r="C41" s="124">
        <v>0</v>
      </c>
      <c r="D41" s="94"/>
      <c r="E41" s="94">
        <f>Food[[#This Row],[Projected Cost]]-Food[[#This Row],[Actual Cost]]</f>
        <v>0</v>
      </c>
      <c r="F41" s="41"/>
      <c r="G41" s="130" t="s">
        <v>9</v>
      </c>
      <c r="H41" s="131">
        <v>0</v>
      </c>
      <c r="I41" s="124"/>
      <c r="J41" s="132">
        <f>SavingsOrInvestment[[#This Row],[Projected Cost]]-SavingsOrInvestment[[#This Row],[Actual Cost]]</f>
        <v>0</v>
      </c>
    </row>
    <row r="42" spans="1:10" ht="18" customHeight="1" thickBot="1" x14ac:dyDescent="0.25">
      <c r="A42" s="1"/>
      <c r="B42" s="57" t="s">
        <v>25</v>
      </c>
      <c r="C42" s="125">
        <v>0</v>
      </c>
      <c r="D42" s="112"/>
      <c r="E42" s="112">
        <f>Food[[#This Row],[Projected Cost]]-Food[[#This Row],[Actual Cost]]</f>
        <v>0</v>
      </c>
      <c r="F42" s="4"/>
      <c r="G42" s="38" t="s">
        <v>61</v>
      </c>
      <c r="H42" s="26">
        <f>SUBTOTAL(109,SavingsOrInvestment[Projected Cost])</f>
        <v>200</v>
      </c>
      <c r="I42" s="21">
        <f>SUBTOTAL(109,SavingsOrInvestment[Actual Cost])</f>
        <v>0</v>
      </c>
      <c r="J42" s="22">
        <f>SUBTOTAL(109,SavingsOrInvestment[Difference])</f>
        <v>200</v>
      </c>
    </row>
    <row r="43" spans="1:10" ht="18" customHeight="1" x14ac:dyDescent="0.2">
      <c r="A43" s="1"/>
      <c r="B43" s="62" t="s">
        <v>9</v>
      </c>
      <c r="C43" s="124"/>
      <c r="D43" s="94"/>
      <c r="E43" s="94">
        <f>Food[[#This Row],[Projected Cost]]-Food[[#This Row],[Actual Cost]]</f>
        <v>0</v>
      </c>
      <c r="F43" s="4"/>
      <c r="G43" s="202"/>
      <c r="H43" s="202"/>
      <c r="I43" s="202"/>
      <c r="J43" s="202"/>
    </row>
    <row r="44" spans="1:10" ht="18" customHeight="1" x14ac:dyDescent="0.2">
      <c r="A44" s="1"/>
      <c r="B44" s="67" t="s">
        <v>61</v>
      </c>
      <c r="C44" s="126">
        <f>SUBTOTAL(109,Food[Projected Cost])</f>
        <v>0</v>
      </c>
      <c r="D44" s="96">
        <f>SUBTOTAL(109,Food[Actual Cost])</f>
        <v>0</v>
      </c>
      <c r="E44" s="96">
        <f>SUBTOTAL(109,Food[Difference])</f>
        <v>0</v>
      </c>
      <c r="F44" s="4"/>
      <c r="G44" s="87" t="s">
        <v>55</v>
      </c>
      <c r="H44" s="123" t="s">
        <v>0</v>
      </c>
      <c r="I44" s="48" t="s">
        <v>1</v>
      </c>
      <c r="J44" s="50" t="s">
        <v>2</v>
      </c>
    </row>
    <row r="45" spans="1:10" ht="18" customHeight="1" thickBot="1" x14ac:dyDescent="0.25">
      <c r="A45" s="1"/>
      <c r="B45" s="202"/>
      <c r="C45" s="202"/>
      <c r="D45" s="202"/>
      <c r="E45" s="202"/>
      <c r="F45" s="12"/>
      <c r="G45" s="133" t="s">
        <v>100</v>
      </c>
      <c r="H45" s="124">
        <f>+E5*0.1</f>
        <v>400</v>
      </c>
      <c r="I45" s="94"/>
      <c r="J45" s="124">
        <f>GiftsAndDonations[[#This Row],[Projected Cost]]-GiftsAndDonations[[#This Row],[Actual Cost]]</f>
        <v>400</v>
      </c>
    </row>
    <row r="46" spans="1:10" ht="18" customHeight="1" thickBot="1" x14ac:dyDescent="0.25">
      <c r="A46" s="1"/>
      <c r="B46" s="38" t="s">
        <v>56</v>
      </c>
      <c r="C46" s="42" t="s">
        <v>0</v>
      </c>
      <c r="D46" s="42" t="s">
        <v>1</v>
      </c>
      <c r="E46" s="42" t="s">
        <v>2</v>
      </c>
      <c r="F46" s="12"/>
      <c r="G46" s="111" t="s">
        <v>98</v>
      </c>
      <c r="H46" s="125">
        <v>50</v>
      </c>
      <c r="I46" s="112"/>
      <c r="J46" s="125">
        <f>GiftsAndDonations[[#This Row],[Projected Cost]]-GiftsAndDonations[[#This Row],[Actual Cost]]</f>
        <v>50</v>
      </c>
    </row>
    <row r="47" spans="1:10" ht="18" customHeight="1" thickBot="1" x14ac:dyDescent="0.25">
      <c r="A47" s="1"/>
      <c r="B47" s="136" t="s">
        <v>18</v>
      </c>
      <c r="C47" s="98">
        <v>0</v>
      </c>
      <c r="D47" s="98"/>
      <c r="E47" s="97">
        <f>Pets[[#This Row],[Projected Cost]]-Pets[[#This Row],[Actual Cost]]</f>
        <v>0</v>
      </c>
      <c r="F47" s="12"/>
      <c r="G47" s="134" t="s">
        <v>99</v>
      </c>
      <c r="H47" s="124">
        <v>75</v>
      </c>
      <c r="I47" s="94"/>
      <c r="J47" s="124">
        <f>GiftsAndDonations[[#This Row],[Projected Cost]]-GiftsAndDonations[[#This Row],[Actual Cost]]</f>
        <v>75</v>
      </c>
    </row>
    <row r="48" spans="1:10" ht="18" customHeight="1" thickBot="1" x14ac:dyDescent="0.25">
      <c r="A48" s="1"/>
      <c r="B48" s="75" t="s">
        <v>20</v>
      </c>
      <c r="C48" s="101"/>
      <c r="D48" s="101"/>
      <c r="E48" s="101">
        <f>Pets[[#This Row],[Projected Cost]]-Pets[[#This Row],[Actual Cost]]</f>
        <v>0</v>
      </c>
      <c r="F48" s="4"/>
      <c r="G48" s="67" t="s">
        <v>61</v>
      </c>
      <c r="H48" s="126">
        <f>SUBTOTAL(109,GiftsAndDonations[Projected Cost])</f>
        <v>525</v>
      </c>
      <c r="I48" s="96">
        <f>SUBTOTAL(109,GiftsAndDonations[Actual Cost])</f>
        <v>0</v>
      </c>
      <c r="J48" s="135">
        <f>SUBTOTAL(109,GiftsAndDonations[Difference])</f>
        <v>525</v>
      </c>
    </row>
    <row r="49" spans="1:10" ht="18" customHeight="1" thickBot="1" x14ac:dyDescent="0.25">
      <c r="A49" s="1"/>
      <c r="B49" s="136" t="s">
        <v>21</v>
      </c>
      <c r="C49" s="98"/>
      <c r="D49" s="105"/>
      <c r="E49" s="107">
        <f>Pets[[#This Row],[Projected Cost]]-Pets[[#This Row],[Actual Cost]]</f>
        <v>0</v>
      </c>
      <c r="F49" s="4"/>
      <c r="G49" s="202"/>
      <c r="H49" s="202"/>
      <c r="I49" s="202"/>
      <c r="J49" s="202"/>
    </row>
    <row r="50" spans="1:10" ht="18" customHeight="1" thickBot="1" x14ac:dyDescent="0.25">
      <c r="A50" s="1"/>
      <c r="B50" s="75" t="s">
        <v>19</v>
      </c>
      <c r="C50" s="101"/>
      <c r="D50" s="129"/>
      <c r="E50" s="101">
        <f>Pets[[#This Row],[Projected Cost]]-Pets[[#This Row],[Actual Cost]]</f>
        <v>0</v>
      </c>
      <c r="F50" s="4"/>
      <c r="G50" s="38" t="s">
        <v>57</v>
      </c>
      <c r="H50" s="39" t="s">
        <v>0</v>
      </c>
      <c r="I50" s="28" t="s">
        <v>1</v>
      </c>
      <c r="J50" s="28" t="s">
        <v>2</v>
      </c>
    </row>
    <row r="51" spans="1:10" ht="18" customHeight="1" thickBot="1" x14ac:dyDescent="0.25">
      <c r="A51" s="1"/>
      <c r="B51" s="137" t="s">
        <v>9</v>
      </c>
      <c r="C51" s="131">
        <v>0</v>
      </c>
      <c r="D51" s="98"/>
      <c r="E51" s="98">
        <f>Pets[[#This Row],[Projected Cost]]-Pets[[#This Row],[Actual Cost]]</f>
        <v>0</v>
      </c>
      <c r="F51" s="41"/>
      <c r="G51" s="130" t="s">
        <v>35</v>
      </c>
      <c r="H51" s="138"/>
      <c r="I51" s="98"/>
      <c r="J51" s="98">
        <f>Legal[[#This Row],[Projected Cost]]-Legal[[#This Row],[Actual Cost]]</f>
        <v>0</v>
      </c>
    </row>
    <row r="52" spans="1:10" ht="18" customHeight="1" thickBot="1" x14ac:dyDescent="0.25">
      <c r="A52" s="1"/>
      <c r="B52" s="34" t="s">
        <v>61</v>
      </c>
      <c r="C52" s="29">
        <f>SUBTOTAL(109,Pets[Projected Cost])</f>
        <v>0</v>
      </c>
      <c r="D52" s="29">
        <f>SUBTOTAL(109,Pets[Actual Cost])</f>
        <v>0</v>
      </c>
      <c r="E52" s="29">
        <f>SUBTOTAL(109,Pets[Difference])</f>
        <v>0</v>
      </c>
      <c r="F52" s="41"/>
      <c r="G52" s="139" t="s">
        <v>36</v>
      </c>
      <c r="H52" s="140"/>
      <c r="I52" s="101"/>
      <c r="J52" s="101">
        <f>Legal[[#This Row],[Projected Cost]]-Legal[[#This Row],[Actual Cost]]</f>
        <v>0</v>
      </c>
    </row>
    <row r="53" spans="1:10" ht="18" customHeight="1" thickBot="1" x14ac:dyDescent="0.25">
      <c r="A53" s="1"/>
      <c r="B53" s="202"/>
      <c r="C53" s="202"/>
      <c r="D53" s="202"/>
      <c r="E53" s="202"/>
      <c r="F53" s="41"/>
      <c r="G53" s="130" t="s">
        <v>40</v>
      </c>
      <c r="H53" s="138"/>
      <c r="I53" s="98"/>
      <c r="J53" s="141">
        <f>Legal[[#This Row],[Projected Cost]]-Legal[[#This Row],[Actual Cost]]</f>
        <v>0</v>
      </c>
    </row>
    <row r="54" spans="1:10" ht="18" customHeight="1" thickBot="1" x14ac:dyDescent="0.25">
      <c r="A54" s="1"/>
      <c r="B54" s="145" t="s">
        <v>58</v>
      </c>
      <c r="C54" s="50" t="s">
        <v>0</v>
      </c>
      <c r="D54" s="49" t="s">
        <v>1</v>
      </c>
      <c r="E54" s="50" t="s">
        <v>2</v>
      </c>
      <c r="F54" s="41"/>
      <c r="G54" s="142" t="s">
        <v>9</v>
      </c>
      <c r="H54" s="143"/>
      <c r="I54" s="102"/>
      <c r="J54" s="110">
        <f>Legal[[#This Row],[Projected Cost]]-Legal[[#This Row],[Actual Cost]]</f>
        <v>0</v>
      </c>
    </row>
    <row r="55" spans="1:10" ht="18" customHeight="1" thickBot="1" x14ac:dyDescent="0.25">
      <c r="A55" s="1"/>
      <c r="B55" s="62" t="s">
        <v>20</v>
      </c>
      <c r="C55" s="138">
        <v>0</v>
      </c>
      <c r="D55" s="94"/>
      <c r="E55" s="94">
        <f>PersonalCare[[#This Row],[Projected Cost]]-PersonalCare[[#This Row],[Actual Cost]]</f>
        <v>0</v>
      </c>
      <c r="F55" s="4"/>
      <c r="G55" s="38" t="s">
        <v>61</v>
      </c>
      <c r="H55" s="23">
        <f>SUBTOTAL(109,Legal[Projected Cost])</f>
        <v>0</v>
      </c>
      <c r="I55" s="29">
        <f>SUBTOTAL(109,Legal[Actual Cost])</f>
        <v>0</v>
      </c>
      <c r="J55" s="29">
        <f>SUBTOTAL(109,Legal[Difference])</f>
        <v>0</v>
      </c>
    </row>
    <row r="56" spans="1:10" ht="18" customHeight="1" thickBot="1" x14ac:dyDescent="0.25">
      <c r="A56" s="1"/>
      <c r="B56" s="57" t="s">
        <v>23</v>
      </c>
      <c r="C56" s="113">
        <v>50</v>
      </c>
      <c r="D56" s="112"/>
      <c r="E56" s="112">
        <f>PersonalCare[[#This Row],[Projected Cost]]-PersonalCare[[#This Row],[Actual Cost]]</f>
        <v>50</v>
      </c>
      <c r="F56" s="3"/>
      <c r="G56" s="203"/>
      <c r="H56" s="203"/>
      <c r="I56" s="203"/>
      <c r="J56" s="203"/>
    </row>
    <row r="57" spans="1:10" ht="18" customHeight="1" thickBot="1" x14ac:dyDescent="0.25">
      <c r="A57" s="1"/>
      <c r="B57" s="55" t="s">
        <v>22</v>
      </c>
      <c r="C57" s="90">
        <v>100</v>
      </c>
      <c r="D57" s="94"/>
      <c r="E57" s="94">
        <f>PersonalCare[[#This Row],[Projected Cost]]-PersonalCare[[#This Row],[Actual Cost]]</f>
        <v>100</v>
      </c>
      <c r="F57" s="3"/>
    </row>
    <row r="58" spans="1:10" ht="18" customHeight="1" thickBot="1" x14ac:dyDescent="0.25">
      <c r="A58" s="1"/>
      <c r="B58" s="57" t="s">
        <v>29</v>
      </c>
      <c r="C58" s="113">
        <v>0</v>
      </c>
      <c r="D58" s="112"/>
      <c r="E58" s="113">
        <f>PersonalCare[[#This Row],[Projected Cost]]-PersonalCare[[#This Row],[Actual Cost]]</f>
        <v>0</v>
      </c>
      <c r="F58" s="3"/>
    </row>
    <row r="59" spans="1:10" ht="18" customHeight="1" thickBot="1" x14ac:dyDescent="0.25">
      <c r="A59" s="1"/>
      <c r="B59" s="62" t="s">
        <v>24</v>
      </c>
      <c r="C59" s="90">
        <v>35</v>
      </c>
      <c r="D59" s="90"/>
      <c r="E59" s="90">
        <f>PersonalCare[[#This Row],[Projected Cost]]-PersonalCare[[#This Row],[Actual Cost]]</f>
        <v>35</v>
      </c>
      <c r="F59" s="3"/>
    </row>
    <row r="60" spans="1:10" ht="18" customHeight="1" thickBot="1" x14ac:dyDescent="0.25">
      <c r="A60" s="1"/>
      <c r="B60" s="57" t="s">
        <v>34</v>
      </c>
      <c r="C60" s="112">
        <v>0</v>
      </c>
      <c r="D60" s="89"/>
      <c r="E60" s="112">
        <f>PersonalCare[[#This Row],[Projected Cost]]-PersonalCare[[#This Row],[Actual Cost]]</f>
        <v>0</v>
      </c>
      <c r="F60" s="3"/>
    </row>
    <row r="61" spans="1:10" ht="18" customHeight="1" x14ac:dyDescent="0.2">
      <c r="A61" s="1"/>
      <c r="B61" s="62" t="s">
        <v>9</v>
      </c>
      <c r="C61" s="138">
        <v>0</v>
      </c>
      <c r="D61" s="95"/>
      <c r="E61" s="94">
        <f>PersonalCare[[#This Row],[Projected Cost]]-PersonalCare[[#This Row],[Actual Cost]]</f>
        <v>0</v>
      </c>
      <c r="F61" s="3"/>
    </row>
    <row r="62" spans="1:10" ht="18" customHeight="1" thickBot="1" x14ac:dyDescent="0.25">
      <c r="A62" s="1"/>
      <c r="B62" s="146" t="s">
        <v>61</v>
      </c>
      <c r="C62" s="135">
        <f>SUBTOTAL(109,PersonalCare[Projected Cost])</f>
        <v>185</v>
      </c>
      <c r="D62" s="147">
        <f>SUBTOTAL(109,PersonalCare[Actual Cost])</f>
        <v>0</v>
      </c>
      <c r="E62" s="135">
        <f>SUBTOTAL(109,PersonalCare[Difference])</f>
        <v>185</v>
      </c>
      <c r="F62" s="3"/>
    </row>
    <row r="63" spans="1:10" ht="20.100000000000001" customHeight="1" x14ac:dyDescent="0.2"/>
  </sheetData>
  <mergeCells count="26">
    <mergeCell ref="B22:E22"/>
    <mergeCell ref="B32:E32"/>
    <mergeCell ref="B39:E39"/>
    <mergeCell ref="G21:J21"/>
    <mergeCell ref="G30:J30"/>
    <mergeCell ref="G37:J37"/>
    <mergeCell ref="B45:E45"/>
    <mergeCell ref="G56:J56"/>
    <mergeCell ref="B53:E53"/>
    <mergeCell ref="G43:J43"/>
    <mergeCell ref="G49:J49"/>
    <mergeCell ref="B1:J1"/>
    <mergeCell ref="C5:D5"/>
    <mergeCell ref="C6:D6"/>
    <mergeCell ref="C7:D7"/>
    <mergeCell ref="C8:D8"/>
    <mergeCell ref="B6:B8"/>
    <mergeCell ref="B3:B5"/>
    <mergeCell ref="C3:D3"/>
    <mergeCell ref="C4:D4"/>
    <mergeCell ref="G8:I8"/>
    <mergeCell ref="G5:I5"/>
    <mergeCell ref="H3:I3"/>
    <mergeCell ref="H4:I4"/>
    <mergeCell ref="H6:I6"/>
    <mergeCell ref="H7:I7"/>
  </mergeCells>
  <phoneticPr fontId="1" type="noConversion"/>
  <conditionalFormatting sqref="E11:E21 E24:E31 E34:E38 E41:E44 E47:E52 E55:E62 J11:J20 J23:J29 J32:J36 J39:J42 J45:J48 J51:J55">
    <cfRule type="iconSet" priority="1">
      <iconSet iconSet="3Signs">
        <cfvo type="percent" val="0"/>
        <cfvo type="num" val="-20"/>
        <cfvo type="num" val="0"/>
      </iconSet>
    </cfRule>
  </conditionalFormatting>
  <dataValidations count="53">
    <dataValidation allowBlank="1" showInputMessage="1" showErrorMessage="1" prompt="Create Personal Monthly Budget in this worksheet.  Projected &amp; Actual income starts in cell B3. Sample tables for expense categories are in two columns starting in cells B10 &amp; G10" sqref="A1" xr:uid="{00000000-0002-0000-0000-000000000000}"/>
    <dataValidation allowBlank="1" showInputMessage="1" showErrorMessage="1" prompt="Title of this worksheet is in this cell.  Continue to cell B3 to enter projected and actual income. Expense and balance summary are auto calculated starting in cell G3" sqref="B1:J1" xr:uid="{00000000-0002-0000-0000-000001000000}"/>
    <dataValidation allowBlank="1" showInputMessage="1" showErrorMessage="1" prompt="Enter projected Income in cell E3 &amp; Extra projected income in cell E4. Total projected monthly income is auto calculated in cell E5. Actual Monthly Income label is in cell below" sqref="B3:B5" xr:uid="{00000000-0002-0000-0000-000002000000}"/>
    <dataValidation allowBlank="1" showInputMessage="1" showErrorMessage="1" prompt="Enter actual Income 1 in this cell" sqref="E6" xr:uid="{00000000-0002-0000-0000-000004000000}"/>
    <dataValidation allowBlank="1" showInputMessage="1" showErrorMessage="1" prompt="Enter actual Extra Income in this cell" sqref="E7" xr:uid="{00000000-0002-0000-0000-000006000000}"/>
    <dataValidation allowBlank="1" showInputMessage="1" showErrorMessage="1" prompt="Total actual monthly income is auto calculated in cell at right" sqref="C8:D8" xr:uid="{00000000-0002-0000-0000-000007000000}"/>
    <dataValidation allowBlank="1" showInputMessage="1" showErrorMessage="1" prompt="Total projected monthly income is auto calculated in this cell" sqref="E5" xr:uid="{00000000-0002-0000-0000-000008000000}"/>
    <dataValidation allowBlank="1" showInputMessage="1" showErrorMessage="1" prompt="Enter actual Income in cell E6 &amp; Extra actual income in cell E7. Total actual monthly income is auto calculated in cell E8. Income summary is auto calculated starting in cell G3" sqref="B6:B8" xr:uid="{00000000-0002-0000-0000-000009000000}"/>
    <dataValidation allowBlank="1" showInputMessage="1" showErrorMessage="1" prompt="Total actual monthly income is auto calculated in this cell" sqref="E8" xr:uid="{00000000-0002-0000-0000-00000A000000}"/>
    <dataValidation allowBlank="1" showInputMessage="1" showErrorMessage="1" prompt="Projected Balance is auto calculated in cell J6" sqref="G6" xr:uid="{00000000-0002-0000-0000-00000B000000}"/>
    <dataValidation allowBlank="1" showInputMessage="1" showErrorMessage="1" prompt="Sample Housing expenses are in this column under this heading" sqref="B10" xr:uid="{00000000-0002-0000-0000-00000C000000}"/>
    <dataValidation allowBlank="1" showInputMessage="1" showErrorMessage="1" prompt="Enter Projected Cost in this column under this heading" sqref="C10 H50 C54 H10 H22 H31 H38 H44 C23 C33 C40 C46" xr:uid="{00000000-0002-0000-0000-00000D000000}"/>
    <dataValidation allowBlank="1" showInputMessage="1" showErrorMessage="1" prompt="Enter Actual Cost in this column under this heading" sqref="D10 D23 D54 I10 I22 I31 I38 I44 I50 D33 D40 D46" xr:uid="{00000000-0002-0000-0000-00000E000000}"/>
    <dataValidation allowBlank="1" showInputMessage="1" showErrorMessage="1" prompt="Sample Transportation expenses are in this column under this heading" sqref="B23" xr:uid="{00000000-0002-0000-0000-00000F000000}"/>
    <dataValidation allowBlank="1" showInputMessage="1" showErrorMessage="1" prompt="Enter details in Personal Care table starting below" sqref="B53:E53" xr:uid="{00000000-0002-0000-0000-000010000000}"/>
    <dataValidation allowBlank="1" showInputMessage="1" showErrorMessage="1" prompt="Enter details in Transportation table starting below" sqref="B22:E22" xr:uid="{00000000-0002-0000-0000-000011000000}"/>
    <dataValidation allowBlank="1" showInputMessage="1" showErrorMessage="1" prompt="Sample Personal Care expenses are in this column under this heading" sqref="B54" xr:uid="{00000000-0002-0000-0000-000012000000}"/>
    <dataValidation allowBlank="1" showInputMessage="1" showErrorMessage="1" prompt="Sample Entertainment expenses are in this column under this heading" sqref="G10" xr:uid="{00000000-0002-0000-0000-000013000000}"/>
    <dataValidation allowBlank="1" showInputMessage="1" showErrorMessage="1" prompt="Enter details in Loans table starting below" sqref="G21:J21" xr:uid="{00000000-0002-0000-0000-000014000000}"/>
    <dataValidation allowBlank="1" showInputMessage="1" showErrorMessage="1" prompt="Sample Loan expenses are in this column under this heading" sqref="G22" xr:uid="{00000000-0002-0000-0000-000015000000}"/>
    <dataValidation allowBlank="1" showInputMessage="1" showErrorMessage="1" prompt="Enter details in Taxes table starting below" sqref="G30:J30" xr:uid="{00000000-0002-0000-0000-000016000000}"/>
    <dataValidation allowBlank="1" showInputMessage="1" showErrorMessage="1" prompt="Sample Tax expenses are in this column under this heading" sqref="G31" xr:uid="{00000000-0002-0000-0000-000017000000}"/>
    <dataValidation allowBlank="1" showInputMessage="1" showErrorMessage="1" prompt="Enter details in Savings or Investments table starting below" sqref="G37:J37" xr:uid="{00000000-0002-0000-0000-000018000000}"/>
    <dataValidation allowBlank="1" showInputMessage="1" showErrorMessage="1" prompt="Sample Savings or Investment expenses are in this column under this heading" sqref="G38" xr:uid="{00000000-0002-0000-0000-000019000000}"/>
    <dataValidation allowBlank="1" showInputMessage="1" showErrorMessage="1" prompt="Enter details in Gifts and Donations table starting below" sqref="G43:J43" xr:uid="{00000000-0002-0000-0000-00001A000000}"/>
    <dataValidation allowBlank="1" showInputMessage="1" showErrorMessage="1" prompt="Sample Gifts and Donation expenses are in this column under this heading" sqref="G44" xr:uid="{00000000-0002-0000-0000-00001B000000}"/>
    <dataValidation allowBlank="1" showInputMessage="1" showErrorMessage="1" prompt="Enter details in Legal table starting below" sqref="G49:J49" xr:uid="{00000000-0002-0000-0000-00001C000000}"/>
    <dataValidation allowBlank="1" showInputMessage="1" showErrorMessage="1" prompt="Sample Legal expenses are in this column under this heading" sqref="G50" xr:uid="{00000000-0002-0000-0000-00001D000000}"/>
    <dataValidation allowBlank="1" showInputMessage="1" showErrorMessage="1" prompt="Total Projected Cost is auto calculated in cell J57, Total Actual Cost in cell J59, and Difference in cell J61" sqref="G56:J56" xr:uid="{00000000-0002-0000-0000-00001E000000}"/>
    <dataValidation allowBlank="1" showInputMessage="1" showErrorMessage="1" prompt="Sample Insurance expenses are in this column under this heading" sqref="B33" xr:uid="{00000000-0002-0000-0000-00001F000000}"/>
    <dataValidation allowBlank="1" showInputMessage="1" showErrorMessage="1" prompt="Sample Food expenses are in this column under this heading" sqref="B40" xr:uid="{00000000-0002-0000-0000-000020000000}"/>
    <dataValidation allowBlank="1" showInputMessage="1" showErrorMessage="1" prompt="Modify or enter Pets items in this column under this heading" sqref="B46" xr:uid="{00000000-0002-0000-0000-000021000000}"/>
    <dataValidation allowBlank="1" showInputMessage="1" showErrorMessage="1" prompt="Enter details in Insurance table starting below" sqref="B32:E32" xr:uid="{00000000-0002-0000-0000-000022000000}"/>
    <dataValidation allowBlank="1" showInputMessage="1" showErrorMessage="1" prompt="Enter details in Food table starting below" sqref="B39:E39" xr:uid="{00000000-0002-0000-0000-000023000000}"/>
    <dataValidation allowBlank="1" showInputMessage="1" showErrorMessage="1" prompt="Enter details in Pets table starting below" sqref="B45:E45" xr:uid="{00000000-0002-0000-0000-000024000000}"/>
    <dataValidation allowBlank="1" showInputMessage="1" showErrorMessage="1" prompt="Enter details in Entertainment table starting below" sqref="G9" xr:uid="{00000000-0002-0000-0000-000025000000}"/>
    <dataValidation allowBlank="1" showInputMessage="1" showErrorMessage="1" prompt="Difference is auto calculated in this column under this heading" sqref="E10 J10 E23 J22 E33 J31 E40 E46 J50 J44 J38 E54" xr:uid="{00000000-0002-0000-0000-000026000000}"/>
    <dataValidation allowBlank="1" showInputMessage="1" showErrorMessage="1" prompt="Total projected monthly income is auto calculated in cell at right" sqref="C5:D5" xr:uid="{00000000-0002-0000-0000-000027000000}"/>
    <dataValidation allowBlank="1" showInputMessage="1" showErrorMessage="1" prompt="Enter projected Income 1 in cell at right" sqref="C3:D3 C6:D6" xr:uid="{00000000-0002-0000-0000-000028000000}"/>
    <dataValidation allowBlank="1" showInputMessage="1" showErrorMessage="1" prompt="Enter projected Extra income in cell at right" sqref="C4:D4 C7:D7" xr:uid="{00000000-0002-0000-0000-000029000000}"/>
    <dataValidation allowBlank="1" showInputMessage="1" showErrorMessage="1" prompt="Enter projected Income 1 in this cell" sqref="E3" xr:uid="{00000000-0002-0000-0000-00002A000000}"/>
    <dataValidation allowBlank="1" showInputMessage="1" showErrorMessage="1" prompt="Enter projectred Extra Income in this cell" sqref="E4" xr:uid="{00000000-0002-0000-0000-00002B000000}"/>
    <dataValidation allowBlank="1" showInputMessage="1" showErrorMessage="1" prompt="Actual Balance is auto calculated in cell J7" sqref="G7" xr:uid="{00000000-0002-0000-0000-00002C000000}"/>
    <dataValidation allowBlank="1" showInputMessage="1" showErrorMessage="1" prompt="Total Projected Expense is auto calculated in this cell" sqref="J3" xr:uid="{00000000-0002-0000-0000-00002D000000}"/>
    <dataValidation allowBlank="1" showInputMessage="1" showErrorMessage="1" prompt="Total Actual Expense is auto calculated in this cell" sqref="J4" xr:uid="{00000000-0002-0000-0000-00002E000000}"/>
    <dataValidation allowBlank="1" showInputMessage="1" showErrorMessage="1" prompt="Total Expense Difference is auto calculated in this cell" sqref="J5" xr:uid="{00000000-0002-0000-0000-00002F000000}"/>
    <dataValidation allowBlank="1" showInputMessage="1" showErrorMessage="1" prompt="Total Projected Expense is auto calculated in cell J3" sqref="G3" xr:uid="{00000000-0002-0000-0000-000030000000}"/>
    <dataValidation allowBlank="1" showInputMessage="1" showErrorMessage="1" prompt="Total Actual Expense is auto calculated in cell J4" sqref="G4" xr:uid="{00000000-0002-0000-0000-000031000000}"/>
    <dataValidation allowBlank="1" showInputMessage="1" showErrorMessage="1" prompt="Total Expense Difference is auto calculated in cell at right" sqref="G5:I5" xr:uid="{00000000-0002-0000-0000-000032000000}"/>
    <dataValidation allowBlank="1" showInputMessage="1" showErrorMessage="1" prompt="Difference in the projected versus actual balance is auto calculated in cell at right" sqref="G8:I8" xr:uid="{00000000-0002-0000-0000-000033000000}"/>
    <dataValidation allowBlank="1" showInputMessage="1" showErrorMessage="1" prompt="Projected Balance is auto calculated in this cell" sqref="J6" xr:uid="{00000000-0002-0000-0000-000034000000}"/>
    <dataValidation allowBlank="1" showInputMessage="1" showErrorMessage="1" prompt="Actual Balance is auto calculated in this cell" sqref="J7" xr:uid="{00000000-0002-0000-0000-000035000000}"/>
    <dataValidation allowBlank="1" showInputMessage="1" showErrorMessage="1" prompt="Balance Difference is auto calculated in this cell" sqref="J8" xr:uid="{00000000-0002-0000-0000-000036000000}"/>
  </dataValidations>
  <printOptions horizontalCentered="1"/>
  <pageMargins left="0.5" right="0.5" top="0.5" bottom="0.5" header="0.5" footer="0.5"/>
  <pageSetup orientation="portrait" horizontalDpi="4294967292" r:id="rId1"/>
  <headerFooter differentFirst="1" alignWithMargins="0">
    <oddFooter>Page &amp;P of &amp;N</oddFooter>
  </headerFooter>
  <ignoredErrors>
    <ignoredError sqref="E25:E30 E15:E20 J12:J19 J23:J28 E34:E37 J32:J35 J39:J41 E41:E43 E47:E51 J45:J47 J51:J54 E55:E61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1F58-F0F6-491A-9667-C4613C5B8C07}">
  <dimension ref="B1:L371"/>
  <sheetViews>
    <sheetView workbookViewId="0">
      <selection activeCell="E8" sqref="E8"/>
    </sheetView>
  </sheetViews>
  <sheetFormatPr defaultRowHeight="12.75" x14ac:dyDescent="0.2"/>
  <cols>
    <col min="1" max="1" width="2.85546875" customWidth="1"/>
    <col min="2" max="2" width="7.7109375" customWidth="1"/>
    <col min="3" max="3" width="16.7109375" customWidth="1"/>
    <col min="4" max="4" width="18.5703125" customWidth="1"/>
    <col min="5" max="10" width="17.28515625" customWidth="1"/>
    <col min="11" max="11" width="19.5703125" customWidth="1"/>
    <col min="12" max="12" width="12.42578125" bestFit="1" customWidth="1"/>
  </cols>
  <sheetData>
    <row r="1" spans="2:12" ht="30" customHeight="1" thickBot="1" x14ac:dyDescent="0.25">
      <c r="B1" s="161" t="s">
        <v>70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2:12" ht="20.100000000000001" customHeight="1" thickTop="1" thickBot="1" x14ac:dyDescent="0.25">
      <c r="C2" s="162" t="s">
        <v>71</v>
      </c>
      <c r="D2" s="162"/>
      <c r="E2" s="162"/>
      <c r="G2" s="162" t="s">
        <v>72</v>
      </c>
      <c r="H2" s="162"/>
      <c r="I2" s="162"/>
    </row>
    <row r="3" spans="2:12" ht="14.25" customHeight="1" thickTop="1" x14ac:dyDescent="0.2">
      <c r="C3" s="209" t="s">
        <v>73</v>
      </c>
      <c r="D3" s="209"/>
      <c r="E3" s="163">
        <v>250000</v>
      </c>
      <c r="G3" s="209" t="s">
        <v>74</v>
      </c>
      <c r="H3" s="209"/>
      <c r="I3" s="164">
        <f>IF(LoanIsGood,-PMT(InterestRate/PaymentsPerYear,ScheduledNumberOfPayments,LoanAmount),"")</f>
        <v>1342.0540575303476</v>
      </c>
    </row>
    <row r="4" spans="2:12" ht="14.25" x14ac:dyDescent="0.2">
      <c r="C4" s="207" t="s">
        <v>75</v>
      </c>
      <c r="D4" s="207"/>
      <c r="E4" s="165">
        <v>0.05</v>
      </c>
      <c r="G4" s="207" t="s">
        <v>76</v>
      </c>
      <c r="H4" s="207"/>
      <c r="I4" s="166">
        <f>IF(LoanIsGood,LoanPeriod*PaymentsPerYear,"")</f>
        <v>360</v>
      </c>
    </row>
    <row r="5" spans="2:12" ht="14.25" x14ac:dyDescent="0.2">
      <c r="C5" s="207" t="s">
        <v>77</v>
      </c>
      <c r="D5" s="207"/>
      <c r="E5" s="167">
        <v>30</v>
      </c>
      <c r="G5" s="207" t="s">
        <v>78</v>
      </c>
      <c r="H5" s="207"/>
      <c r="I5" s="166">
        <v>0</v>
      </c>
    </row>
    <row r="6" spans="2:12" ht="14.25" x14ac:dyDescent="0.2">
      <c r="C6" s="207" t="s">
        <v>79</v>
      </c>
      <c r="D6" s="207"/>
      <c r="E6" s="168">
        <v>12</v>
      </c>
      <c r="G6" s="207" t="s">
        <v>80</v>
      </c>
      <c r="H6" s="207"/>
      <c r="I6" s="169">
        <v>0</v>
      </c>
    </row>
    <row r="7" spans="2:12" ht="14.25" x14ac:dyDescent="0.2">
      <c r="C7" s="207" t="s">
        <v>81</v>
      </c>
      <c r="D7" s="207"/>
      <c r="E7" s="170">
        <v>45017</v>
      </c>
      <c r="G7" s="207" t="s">
        <v>82</v>
      </c>
      <c r="H7" s="207"/>
      <c r="I7" s="169">
        <f>SUM(PaymentSchedule[INTEREST])</f>
        <v>233139.46071092531</v>
      </c>
    </row>
    <row r="9" spans="2:12" ht="15" thickBot="1" x14ac:dyDescent="0.25">
      <c r="C9" s="207" t="s">
        <v>83</v>
      </c>
      <c r="D9" s="207"/>
      <c r="E9" s="171">
        <v>0</v>
      </c>
      <c r="G9" s="172" t="s">
        <v>84</v>
      </c>
      <c r="H9" s="208"/>
      <c r="I9" s="208"/>
    </row>
    <row r="11" spans="2:12" ht="35.1" customHeight="1" x14ac:dyDescent="0.2">
      <c r="B11" s="173" t="s">
        <v>85</v>
      </c>
      <c r="C11" s="173" t="s">
        <v>86</v>
      </c>
      <c r="D11" s="174" t="s">
        <v>87</v>
      </c>
      <c r="E11" s="174" t="s">
        <v>88</v>
      </c>
      <c r="F11" s="174" t="s">
        <v>89</v>
      </c>
      <c r="G11" s="174" t="s">
        <v>90</v>
      </c>
      <c r="H11" s="174" t="s">
        <v>91</v>
      </c>
      <c r="I11" s="174" t="s">
        <v>92</v>
      </c>
      <c r="J11" s="174" t="s">
        <v>93</v>
      </c>
      <c r="K11" s="174" t="s">
        <v>94</v>
      </c>
      <c r="L11" s="179" t="s">
        <v>102</v>
      </c>
    </row>
    <row r="12" spans="2:12" x14ac:dyDescent="0.2">
      <c r="B12" s="175">
        <f>IF(LoanIsGood,IF(ROW()-ROW(PaymentSchedule[[#Headers],[PMT NO]])&gt;ScheduledNumberOfPayments,"",ROW()-ROW(PaymentSchedule[[#Headers],[PMT NO]])),"")</f>
        <v>1</v>
      </c>
      <c r="C12" s="176">
        <f>IF(PaymentSchedule[[#This Row],[PMT NO]]&lt;&gt;"",EOMONTH(LoanStartDate,ROW(PaymentSchedule[[#This Row],[PMT NO]])-ROW(PaymentSchedule[[#Headers],[PMT NO]])-2)+DAY(LoanStartDate),"")</f>
        <v>45017</v>
      </c>
      <c r="D12" s="177">
        <f>IF(PaymentSchedule[[#This Row],[PMT NO]]&lt;&gt;"",IF(ROW()-ROW(PaymentSchedule[[#Headers],[BEGINNING BALANCE]])=1,LoanAmount,INDEX(PaymentSchedule[ENDING BALANCE],ROW()-ROW(PaymentSchedule[[#Headers],[BEGINNING BALANCE]])-1)),"")</f>
        <v>250000</v>
      </c>
      <c r="E12" s="177">
        <f>IF(PaymentSchedule[[#This Row],[PMT NO]]&lt;&gt;"",ScheduledPayment,"")</f>
        <v>1342.0540575303476</v>
      </c>
      <c r="F1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" s="177">
        <f>IF(PaymentSchedule[[#This Row],[PMT NO]]&lt;&gt;"",PaymentSchedule[[#This Row],[TOTAL PAYMENT]]-PaymentSchedule[[#This Row],[INTEREST]],"")</f>
        <v>300.38739086368082</v>
      </c>
      <c r="I12" s="177">
        <f>IF(PaymentSchedule[[#This Row],[PMT NO]]&lt;&gt;"",PaymentSchedule[[#This Row],[BEGINNING BALANCE]]*(InterestRate/PaymentsPerYear),"")</f>
        <v>1041.6666666666667</v>
      </c>
      <c r="J1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249699.61260913633</v>
      </c>
      <c r="K12" s="177">
        <f>IF(PaymentSchedule[[#This Row],[PMT NO]]&lt;&gt;"",SUM(INDEX(PaymentSchedule[INTEREST],1,1):PaymentSchedule[[#This Row],[INTEREST]]),"")</f>
        <v>1041.6666666666667</v>
      </c>
      <c r="L12" s="178"/>
    </row>
    <row r="13" spans="2:12" x14ac:dyDescent="0.2">
      <c r="B13" s="175">
        <f>IF(LoanIsGood,IF(ROW()-ROW(PaymentSchedule[[#Headers],[PMT NO]])&gt;ScheduledNumberOfPayments,"",ROW()-ROW(PaymentSchedule[[#Headers],[PMT NO]])),"")</f>
        <v>2</v>
      </c>
      <c r="C13" s="176">
        <f>IF(PaymentSchedule[[#This Row],[PMT NO]]&lt;&gt;"",EOMONTH(LoanStartDate,ROW(PaymentSchedule[[#This Row],[PMT NO]])-ROW(PaymentSchedule[[#Headers],[PMT NO]])-2)+DAY(LoanStartDate),"")</f>
        <v>45047</v>
      </c>
      <c r="D13" s="177">
        <f>IF(PaymentSchedule[[#This Row],[PMT NO]]&lt;&gt;"",IF(ROW()-ROW(PaymentSchedule[[#Headers],[BEGINNING BALANCE]])=1,LoanAmount,INDEX(PaymentSchedule[ENDING BALANCE],ROW()-ROW(PaymentSchedule[[#Headers],[BEGINNING BALANCE]])-1)),"")</f>
        <v>249699.61260913633</v>
      </c>
      <c r="E13" s="177">
        <f>IF(PaymentSchedule[[#This Row],[PMT NO]]&lt;&gt;"",ScheduledPayment,"")</f>
        <v>1342.0540575303476</v>
      </c>
      <c r="F1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" s="177">
        <f>IF(PaymentSchedule[[#This Row],[PMT NO]]&lt;&gt;"",PaymentSchedule[[#This Row],[TOTAL PAYMENT]]-PaymentSchedule[[#This Row],[INTEREST]],"")</f>
        <v>301.63900499227952</v>
      </c>
      <c r="I13" s="177">
        <f>IF(PaymentSchedule[[#This Row],[PMT NO]]&lt;&gt;"",PaymentSchedule[[#This Row],[BEGINNING BALANCE]]*(InterestRate/PaymentsPerYear),"")</f>
        <v>1040.415052538068</v>
      </c>
      <c r="J1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249397.97360414403</v>
      </c>
      <c r="K13" s="177">
        <f>IF(PaymentSchedule[[#This Row],[PMT NO]]&lt;&gt;"",SUM(INDEX(PaymentSchedule[INTEREST],1,1):PaymentSchedule[[#This Row],[INTEREST]]),"")</f>
        <v>2082.0817192047348</v>
      </c>
      <c r="L13" s="178"/>
    </row>
    <row r="14" spans="2:12" x14ac:dyDescent="0.2">
      <c r="B14" s="175">
        <f>IF(LoanIsGood,IF(ROW()-ROW(PaymentSchedule[[#Headers],[PMT NO]])&gt;ScheduledNumberOfPayments,"",ROW()-ROW(PaymentSchedule[[#Headers],[PMT NO]])),"")</f>
        <v>3</v>
      </c>
      <c r="C14" s="176">
        <f>IF(PaymentSchedule[[#This Row],[PMT NO]]&lt;&gt;"",EOMONTH(LoanStartDate,ROW(PaymentSchedule[[#This Row],[PMT NO]])-ROW(PaymentSchedule[[#Headers],[PMT NO]])-2)+DAY(LoanStartDate),"")</f>
        <v>45078</v>
      </c>
      <c r="D14" s="177">
        <f>IF(PaymentSchedule[[#This Row],[PMT NO]]&lt;&gt;"",IF(ROW()-ROW(PaymentSchedule[[#Headers],[BEGINNING BALANCE]])=1,LoanAmount,INDEX(PaymentSchedule[ENDING BALANCE],ROW()-ROW(PaymentSchedule[[#Headers],[BEGINNING BALANCE]])-1)),"")</f>
        <v>249397.97360414403</v>
      </c>
      <c r="E14" s="177">
        <f>IF(PaymentSchedule[[#This Row],[PMT NO]]&lt;&gt;"",ScheduledPayment,"")</f>
        <v>1342.0540575303476</v>
      </c>
      <c r="F1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" s="177">
        <f>IF(PaymentSchedule[[#This Row],[PMT NO]]&lt;&gt;"",PaymentSchedule[[#This Row],[TOTAL PAYMENT]]-PaymentSchedule[[#This Row],[INTEREST]],"")</f>
        <v>302.89583417974745</v>
      </c>
      <c r="I14" s="177">
        <f>IF(PaymentSchedule[[#This Row],[PMT NO]]&lt;&gt;"",PaymentSchedule[[#This Row],[BEGINNING BALANCE]]*(InterestRate/PaymentsPerYear),"")</f>
        <v>1039.1582233506001</v>
      </c>
      <c r="J1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249095.07776996429</v>
      </c>
      <c r="K14" s="177">
        <f>IF(PaymentSchedule[[#This Row],[PMT NO]]&lt;&gt;"",SUM(INDEX(PaymentSchedule[INTEREST],1,1):PaymentSchedule[[#This Row],[INTEREST]]),"")</f>
        <v>3121.2399425553349</v>
      </c>
      <c r="L14" s="178"/>
    </row>
    <row r="15" spans="2:12" x14ac:dyDescent="0.2">
      <c r="B15" s="175">
        <f>IF(LoanIsGood,IF(ROW()-ROW(PaymentSchedule[[#Headers],[PMT NO]])&gt;ScheduledNumberOfPayments,"",ROW()-ROW(PaymentSchedule[[#Headers],[PMT NO]])),"")</f>
        <v>4</v>
      </c>
      <c r="C15" s="176">
        <f>IF(PaymentSchedule[[#This Row],[PMT NO]]&lt;&gt;"",EOMONTH(LoanStartDate,ROW(PaymentSchedule[[#This Row],[PMT NO]])-ROW(PaymentSchedule[[#Headers],[PMT NO]])-2)+DAY(LoanStartDate),"")</f>
        <v>45108</v>
      </c>
      <c r="D15" s="177">
        <f>IF(PaymentSchedule[[#This Row],[PMT NO]]&lt;&gt;"",IF(ROW()-ROW(PaymentSchedule[[#Headers],[BEGINNING BALANCE]])=1,LoanAmount,INDEX(PaymentSchedule[ENDING BALANCE],ROW()-ROW(PaymentSchedule[[#Headers],[BEGINNING BALANCE]])-1)),"")</f>
        <v>249095.07776996429</v>
      </c>
      <c r="E15" s="177">
        <f>IF(PaymentSchedule[[#This Row],[PMT NO]]&lt;&gt;"",ScheduledPayment,"")</f>
        <v>1342.0540575303476</v>
      </c>
      <c r="F1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" s="177">
        <f>IF(PaymentSchedule[[#This Row],[PMT NO]]&lt;&gt;"",PaymentSchedule[[#This Row],[TOTAL PAYMENT]]-PaymentSchedule[[#This Row],[INTEREST]],"")</f>
        <v>304.15790015549646</v>
      </c>
      <c r="I15" s="177">
        <f>IF(PaymentSchedule[[#This Row],[PMT NO]]&lt;&gt;"",PaymentSchedule[[#This Row],[BEGINNING BALANCE]]*(InterestRate/PaymentsPerYear),"")</f>
        <v>1037.8961573748511</v>
      </c>
      <c r="J1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248790.9198698088</v>
      </c>
      <c r="K15" s="177">
        <f>IF(PaymentSchedule[[#This Row],[PMT NO]]&lt;&gt;"",SUM(INDEX(PaymentSchedule[INTEREST],1,1):PaymentSchedule[[#This Row],[INTEREST]]),"")</f>
        <v>4159.136099930186</v>
      </c>
      <c r="L15" s="178"/>
    </row>
    <row r="16" spans="2:12" x14ac:dyDescent="0.2">
      <c r="B16" s="175">
        <f>IF(LoanIsGood,IF(ROW()-ROW(PaymentSchedule[[#Headers],[PMT NO]])&gt;ScheduledNumberOfPayments,"",ROW()-ROW(PaymentSchedule[[#Headers],[PMT NO]])),"")</f>
        <v>5</v>
      </c>
      <c r="C16" s="176">
        <f>IF(PaymentSchedule[[#This Row],[PMT NO]]&lt;&gt;"",EOMONTH(LoanStartDate,ROW(PaymentSchedule[[#This Row],[PMT NO]])-ROW(PaymentSchedule[[#Headers],[PMT NO]])-2)+DAY(LoanStartDate),"")</f>
        <v>45139</v>
      </c>
      <c r="D16" s="177">
        <f>IF(PaymentSchedule[[#This Row],[PMT NO]]&lt;&gt;"",IF(ROW()-ROW(PaymentSchedule[[#Headers],[BEGINNING BALANCE]])=1,LoanAmount,INDEX(PaymentSchedule[ENDING BALANCE],ROW()-ROW(PaymentSchedule[[#Headers],[BEGINNING BALANCE]])-1)),"")</f>
        <v>248790.9198698088</v>
      </c>
      <c r="E16" s="177">
        <f>IF(PaymentSchedule[[#This Row],[PMT NO]]&lt;&gt;"",ScheduledPayment,"")</f>
        <v>1342.0540575303476</v>
      </c>
      <c r="F1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" s="177">
        <f>IF(PaymentSchedule[[#This Row],[PMT NO]]&lt;&gt;"",PaymentSchedule[[#This Row],[TOTAL PAYMENT]]-PaymentSchedule[[#This Row],[INTEREST]],"")</f>
        <v>305.42522473947747</v>
      </c>
      <c r="I16" s="177">
        <f>IF(PaymentSchedule[[#This Row],[PMT NO]]&lt;&gt;"",PaymentSchedule[[#This Row],[BEGINNING BALANCE]]*(InterestRate/PaymentsPerYear),"")</f>
        <v>1036.6288327908701</v>
      </c>
      <c r="J1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248485.49464506932</v>
      </c>
      <c r="K16" s="177">
        <f>IF(PaymentSchedule[[#This Row],[PMT NO]]&lt;&gt;"",SUM(INDEX(PaymentSchedule[INTEREST],1,1):PaymentSchedule[[#This Row],[INTEREST]]),"")</f>
        <v>5195.7649327210565</v>
      </c>
      <c r="L16" s="178"/>
    </row>
    <row r="17" spans="2:12" x14ac:dyDescent="0.2">
      <c r="B17" s="175">
        <f>IF(LoanIsGood,IF(ROW()-ROW(PaymentSchedule[[#Headers],[PMT NO]])&gt;ScheduledNumberOfPayments,"",ROW()-ROW(PaymentSchedule[[#Headers],[PMT NO]])),"")</f>
        <v>6</v>
      </c>
      <c r="C17" s="176">
        <f>IF(PaymentSchedule[[#This Row],[PMT NO]]&lt;&gt;"",EOMONTH(LoanStartDate,ROW(PaymentSchedule[[#This Row],[PMT NO]])-ROW(PaymentSchedule[[#Headers],[PMT NO]])-2)+DAY(LoanStartDate),"")</f>
        <v>45170</v>
      </c>
      <c r="D17" s="177">
        <f>IF(PaymentSchedule[[#This Row],[PMT NO]]&lt;&gt;"",IF(ROW()-ROW(PaymentSchedule[[#Headers],[BEGINNING BALANCE]])=1,LoanAmount,INDEX(PaymentSchedule[ENDING BALANCE],ROW()-ROW(PaymentSchedule[[#Headers],[BEGINNING BALANCE]])-1)),"")</f>
        <v>248485.49464506932</v>
      </c>
      <c r="E17" s="177">
        <f>IF(PaymentSchedule[[#This Row],[PMT NO]]&lt;&gt;"",ScheduledPayment,"")</f>
        <v>1342.0540575303476</v>
      </c>
      <c r="F1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" s="177">
        <f>IF(PaymentSchedule[[#This Row],[PMT NO]]&lt;&gt;"",PaymentSchedule[[#This Row],[TOTAL PAYMENT]]-PaymentSchedule[[#This Row],[INTEREST]],"")</f>
        <v>306.6978298425588</v>
      </c>
      <c r="I17" s="177">
        <f>IF(PaymentSchedule[[#This Row],[PMT NO]]&lt;&gt;"",PaymentSchedule[[#This Row],[BEGINNING BALANCE]]*(InterestRate/PaymentsPerYear),"")</f>
        <v>1035.3562276877888</v>
      </c>
      <c r="J1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248178.79681522676</v>
      </c>
      <c r="K17" s="177">
        <f>IF(PaymentSchedule[[#This Row],[PMT NO]]&lt;&gt;"",SUM(INDEX(PaymentSchedule[INTEREST],1,1):PaymentSchedule[[#This Row],[INTEREST]]),"")</f>
        <v>6231.1211604088458</v>
      </c>
      <c r="L17" s="178"/>
    </row>
    <row r="18" spans="2:12" x14ac:dyDescent="0.2">
      <c r="B18" s="175">
        <f>IF(LoanIsGood,IF(ROW()-ROW(PaymentSchedule[[#Headers],[PMT NO]])&gt;ScheduledNumberOfPayments,"",ROW()-ROW(PaymentSchedule[[#Headers],[PMT NO]])),"")</f>
        <v>7</v>
      </c>
      <c r="C18" s="176">
        <f>IF(PaymentSchedule[[#This Row],[PMT NO]]&lt;&gt;"",EOMONTH(LoanStartDate,ROW(PaymentSchedule[[#This Row],[PMT NO]])-ROW(PaymentSchedule[[#Headers],[PMT NO]])-2)+DAY(LoanStartDate),"")</f>
        <v>45200</v>
      </c>
      <c r="D18" s="177">
        <f>IF(PaymentSchedule[[#This Row],[PMT NO]]&lt;&gt;"",IF(ROW()-ROW(PaymentSchedule[[#Headers],[BEGINNING BALANCE]])=1,LoanAmount,INDEX(PaymentSchedule[ENDING BALANCE],ROW()-ROW(PaymentSchedule[[#Headers],[BEGINNING BALANCE]])-1)),"")</f>
        <v>248178.79681522676</v>
      </c>
      <c r="E18" s="177">
        <f>IF(PaymentSchedule[[#This Row],[PMT NO]]&lt;&gt;"",ScheduledPayment,"")</f>
        <v>1342.0540575303476</v>
      </c>
      <c r="F1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" s="177">
        <f>IF(PaymentSchedule[[#This Row],[PMT NO]]&lt;&gt;"",PaymentSchedule[[#This Row],[TOTAL PAYMENT]]-PaymentSchedule[[#This Row],[INTEREST]],"")</f>
        <v>307.97573746690273</v>
      </c>
      <c r="I18" s="177">
        <f>IF(PaymentSchedule[[#This Row],[PMT NO]]&lt;&gt;"",PaymentSchedule[[#This Row],[BEGINNING BALANCE]]*(InterestRate/PaymentsPerYear),"")</f>
        <v>1034.0783200634448</v>
      </c>
      <c r="J1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247870.82107775984</v>
      </c>
      <c r="K18" s="177">
        <f>IF(PaymentSchedule[[#This Row],[PMT NO]]&lt;&gt;"",SUM(INDEX(PaymentSchedule[INTEREST],1,1):PaymentSchedule[[#This Row],[INTEREST]]),"")</f>
        <v>7265.1994804722908</v>
      </c>
      <c r="L18" s="178"/>
    </row>
    <row r="19" spans="2:12" x14ac:dyDescent="0.2">
      <c r="B19" s="175">
        <f>IF(LoanIsGood,IF(ROW()-ROW(PaymentSchedule[[#Headers],[PMT NO]])&gt;ScheduledNumberOfPayments,"",ROW()-ROW(PaymentSchedule[[#Headers],[PMT NO]])),"")</f>
        <v>8</v>
      </c>
      <c r="C19" s="176">
        <f>IF(PaymentSchedule[[#This Row],[PMT NO]]&lt;&gt;"",EOMONTH(LoanStartDate,ROW(PaymentSchedule[[#This Row],[PMT NO]])-ROW(PaymentSchedule[[#Headers],[PMT NO]])-2)+DAY(LoanStartDate),"")</f>
        <v>45231</v>
      </c>
      <c r="D19" s="177">
        <f>IF(PaymentSchedule[[#This Row],[PMT NO]]&lt;&gt;"",IF(ROW()-ROW(PaymentSchedule[[#Headers],[BEGINNING BALANCE]])=1,LoanAmount,INDEX(PaymentSchedule[ENDING BALANCE],ROW()-ROW(PaymentSchedule[[#Headers],[BEGINNING BALANCE]])-1)),"")</f>
        <v>247870.82107775984</v>
      </c>
      <c r="E19" s="177">
        <f>IF(PaymentSchedule[[#This Row],[PMT NO]]&lt;&gt;"",ScheduledPayment,"")</f>
        <v>1342.0540575303476</v>
      </c>
      <c r="F1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" s="177">
        <f>IF(PaymentSchedule[[#This Row],[PMT NO]]&lt;&gt;"",PaymentSchedule[[#This Row],[TOTAL PAYMENT]]-PaymentSchedule[[#This Row],[INTEREST]],"")</f>
        <v>309.25896970634813</v>
      </c>
      <c r="I19" s="177">
        <f>IF(PaymentSchedule[[#This Row],[PMT NO]]&lt;&gt;"",PaymentSchedule[[#This Row],[BEGINNING BALANCE]]*(InterestRate/PaymentsPerYear),"")</f>
        <v>1032.7950878239994</v>
      </c>
      <c r="J1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247561.56210805351</v>
      </c>
      <c r="K19" s="177">
        <f>IF(PaymentSchedule[[#This Row],[PMT NO]]&lt;&gt;"",SUM(INDEX(PaymentSchedule[INTEREST],1,1):PaymentSchedule[[#This Row],[INTEREST]]),"")</f>
        <v>8297.9945682962898</v>
      </c>
      <c r="L19" s="178"/>
    </row>
    <row r="20" spans="2:12" x14ac:dyDescent="0.2">
      <c r="B20" s="175">
        <f>IF(LoanIsGood,IF(ROW()-ROW(PaymentSchedule[[#Headers],[PMT NO]])&gt;ScheduledNumberOfPayments,"",ROW()-ROW(PaymentSchedule[[#Headers],[PMT NO]])),"")</f>
        <v>9</v>
      </c>
      <c r="C20" s="176">
        <f>IF(PaymentSchedule[[#This Row],[PMT NO]]&lt;&gt;"",EOMONTH(LoanStartDate,ROW(PaymentSchedule[[#This Row],[PMT NO]])-ROW(PaymentSchedule[[#Headers],[PMT NO]])-2)+DAY(LoanStartDate),"")</f>
        <v>45261</v>
      </c>
      <c r="D20" s="177">
        <f>IF(PaymentSchedule[[#This Row],[PMT NO]]&lt;&gt;"",IF(ROW()-ROW(PaymentSchedule[[#Headers],[BEGINNING BALANCE]])=1,LoanAmount,INDEX(PaymentSchedule[ENDING BALANCE],ROW()-ROW(PaymentSchedule[[#Headers],[BEGINNING BALANCE]])-1)),"")</f>
        <v>247561.56210805351</v>
      </c>
      <c r="E20" s="177">
        <f>IF(PaymentSchedule[[#This Row],[PMT NO]]&lt;&gt;"",ScheduledPayment,"")</f>
        <v>1342.0540575303476</v>
      </c>
      <c r="F2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" s="177">
        <f>IF(PaymentSchedule[[#This Row],[PMT NO]]&lt;&gt;"",PaymentSchedule[[#This Row],[TOTAL PAYMENT]]-PaymentSchedule[[#This Row],[INTEREST]],"")</f>
        <v>310.54754874679134</v>
      </c>
      <c r="I20" s="177">
        <f>IF(PaymentSchedule[[#This Row],[PMT NO]]&lt;&gt;"",PaymentSchedule[[#This Row],[BEGINNING BALANCE]]*(InterestRate/PaymentsPerYear),"")</f>
        <v>1031.5065087835562</v>
      </c>
      <c r="J2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247251.01455930673</v>
      </c>
      <c r="K20" s="177">
        <f>IF(PaymentSchedule[[#This Row],[PMT NO]]&lt;&gt;"",SUM(INDEX(PaymentSchedule[INTEREST],1,1):PaymentSchedule[[#This Row],[INTEREST]]),"")</f>
        <v>9329.5010770798453</v>
      </c>
      <c r="L20" s="178"/>
    </row>
    <row r="21" spans="2:12" x14ac:dyDescent="0.2">
      <c r="B21" s="175">
        <f>IF(LoanIsGood,IF(ROW()-ROW(PaymentSchedule[[#Headers],[PMT NO]])&gt;ScheduledNumberOfPayments,"",ROW()-ROW(PaymentSchedule[[#Headers],[PMT NO]])),"")</f>
        <v>10</v>
      </c>
      <c r="C21" s="176">
        <f>IF(PaymentSchedule[[#This Row],[PMT NO]]&lt;&gt;"",EOMONTH(LoanStartDate,ROW(PaymentSchedule[[#This Row],[PMT NO]])-ROW(PaymentSchedule[[#Headers],[PMT NO]])-2)+DAY(LoanStartDate),"")</f>
        <v>45292</v>
      </c>
      <c r="D21" s="177">
        <f>IF(PaymentSchedule[[#This Row],[PMT NO]]&lt;&gt;"",IF(ROW()-ROW(PaymentSchedule[[#Headers],[BEGINNING BALANCE]])=1,LoanAmount,INDEX(PaymentSchedule[ENDING BALANCE],ROW()-ROW(PaymentSchedule[[#Headers],[BEGINNING BALANCE]])-1)),"")</f>
        <v>247251.01455930673</v>
      </c>
      <c r="E21" s="177">
        <f>IF(PaymentSchedule[[#This Row],[PMT NO]]&lt;&gt;"",ScheduledPayment,"")</f>
        <v>1342.0540575303476</v>
      </c>
      <c r="F2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" s="177">
        <f>IF(PaymentSchedule[[#This Row],[PMT NO]]&lt;&gt;"",PaymentSchedule[[#This Row],[TOTAL PAYMENT]]-PaymentSchedule[[#This Row],[INTEREST]],"")</f>
        <v>311.84149686656951</v>
      </c>
      <c r="I21" s="177">
        <f>IF(PaymentSchedule[[#This Row],[PMT NO]]&lt;&gt;"",PaymentSchedule[[#This Row],[BEGINNING BALANCE]]*(InterestRate/PaymentsPerYear),"")</f>
        <v>1030.212560663778</v>
      </c>
      <c r="J2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246939.17306244015</v>
      </c>
      <c r="K21" s="177">
        <f>IF(PaymentSchedule[[#This Row],[PMT NO]]&lt;&gt;"",SUM(INDEX(PaymentSchedule[INTEREST],1,1):PaymentSchedule[[#This Row],[INTEREST]]),"")</f>
        <v>10359.713637743624</v>
      </c>
      <c r="L21" s="178"/>
    </row>
    <row r="22" spans="2:12" x14ac:dyDescent="0.2">
      <c r="B22" s="175">
        <f>IF(LoanIsGood,IF(ROW()-ROW(PaymentSchedule[[#Headers],[PMT NO]])&gt;ScheduledNumberOfPayments,"",ROW()-ROW(PaymentSchedule[[#Headers],[PMT NO]])),"")</f>
        <v>11</v>
      </c>
      <c r="C22" s="176">
        <f>IF(PaymentSchedule[[#This Row],[PMT NO]]&lt;&gt;"",EOMONTH(LoanStartDate,ROW(PaymentSchedule[[#This Row],[PMT NO]])-ROW(PaymentSchedule[[#Headers],[PMT NO]])-2)+DAY(LoanStartDate),"")</f>
        <v>45323</v>
      </c>
      <c r="D22" s="177">
        <f>IF(PaymentSchedule[[#This Row],[PMT NO]]&lt;&gt;"",IF(ROW()-ROW(PaymentSchedule[[#Headers],[BEGINNING BALANCE]])=1,LoanAmount,INDEX(PaymentSchedule[ENDING BALANCE],ROW()-ROW(PaymentSchedule[[#Headers],[BEGINNING BALANCE]])-1)),"")</f>
        <v>246939.17306244015</v>
      </c>
      <c r="E22" s="177">
        <f>IF(PaymentSchedule[[#This Row],[PMT NO]]&lt;&gt;"",ScheduledPayment,"")</f>
        <v>1342.0540575303476</v>
      </c>
      <c r="F2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" s="177">
        <f>IF(PaymentSchedule[[#This Row],[PMT NO]]&lt;&gt;"",PaymentSchedule[[#This Row],[TOTAL PAYMENT]]-PaymentSchedule[[#This Row],[INTEREST]],"")</f>
        <v>313.14083643684694</v>
      </c>
      <c r="I22" s="177">
        <f>IF(PaymentSchedule[[#This Row],[PMT NO]]&lt;&gt;"",PaymentSchedule[[#This Row],[BEGINNING BALANCE]]*(InterestRate/PaymentsPerYear),"")</f>
        <v>1028.9132210935006</v>
      </c>
      <c r="J2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246626.0322260033</v>
      </c>
      <c r="K22" s="177">
        <f>IF(PaymentSchedule[[#This Row],[PMT NO]]&lt;&gt;"",SUM(INDEX(PaymentSchedule[INTEREST],1,1):PaymentSchedule[[#This Row],[INTEREST]]),"")</f>
        <v>11388.626858837124</v>
      </c>
      <c r="L22" s="178"/>
    </row>
    <row r="23" spans="2:12" x14ac:dyDescent="0.2">
      <c r="B23" s="175">
        <f>IF(LoanIsGood,IF(ROW()-ROW(PaymentSchedule[[#Headers],[PMT NO]])&gt;ScheduledNumberOfPayments,"",ROW()-ROW(PaymentSchedule[[#Headers],[PMT NO]])),"")</f>
        <v>12</v>
      </c>
      <c r="C23" s="176">
        <f>IF(PaymentSchedule[[#This Row],[PMT NO]]&lt;&gt;"",EOMONTH(LoanStartDate,ROW(PaymentSchedule[[#This Row],[PMT NO]])-ROW(PaymentSchedule[[#Headers],[PMT NO]])-2)+DAY(LoanStartDate),"")</f>
        <v>45352</v>
      </c>
      <c r="D23" s="177">
        <f>IF(PaymentSchedule[[#This Row],[PMT NO]]&lt;&gt;"",IF(ROW()-ROW(PaymentSchedule[[#Headers],[BEGINNING BALANCE]])=1,LoanAmount,INDEX(PaymentSchedule[ENDING BALANCE],ROW()-ROW(PaymentSchedule[[#Headers],[BEGINNING BALANCE]])-1)),"")</f>
        <v>246626.0322260033</v>
      </c>
      <c r="E23" s="177">
        <f>IF(PaymentSchedule[[#This Row],[PMT NO]]&lt;&gt;"",ScheduledPayment,"")</f>
        <v>1342.0540575303476</v>
      </c>
      <c r="F2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" s="177">
        <f>IF(PaymentSchedule[[#This Row],[PMT NO]]&lt;&gt;"",PaymentSchedule[[#This Row],[TOTAL PAYMENT]]-PaymentSchedule[[#This Row],[INTEREST]],"")</f>
        <v>314.44558992200041</v>
      </c>
      <c r="I23" s="177">
        <f>IF(PaymentSchedule[[#This Row],[PMT NO]]&lt;&gt;"",PaymentSchedule[[#This Row],[BEGINNING BALANCE]]*(InterestRate/PaymentsPerYear),"")</f>
        <v>1027.6084676083472</v>
      </c>
      <c r="J2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246311.58663608131</v>
      </c>
      <c r="K23" s="177">
        <f>IF(PaymentSchedule[[#This Row],[PMT NO]]&lt;&gt;"",SUM(INDEX(PaymentSchedule[INTEREST],1,1):PaymentSchedule[[#This Row],[INTEREST]]),"")</f>
        <v>12416.23532644547</v>
      </c>
      <c r="L23" s="178"/>
    </row>
    <row r="24" spans="2:12" x14ac:dyDescent="0.2">
      <c r="B24" s="175">
        <f>IF(LoanIsGood,IF(ROW()-ROW(PaymentSchedule[[#Headers],[PMT NO]])&gt;ScheduledNumberOfPayments,"",ROW()-ROW(PaymentSchedule[[#Headers],[PMT NO]])),"")</f>
        <v>13</v>
      </c>
      <c r="C24" s="176">
        <f>IF(PaymentSchedule[[#This Row],[PMT NO]]&lt;&gt;"",EOMONTH(LoanStartDate,ROW(PaymentSchedule[[#This Row],[PMT NO]])-ROW(PaymentSchedule[[#Headers],[PMT NO]])-2)+DAY(LoanStartDate),"")</f>
        <v>45383</v>
      </c>
      <c r="D24" s="177">
        <f>IF(PaymentSchedule[[#This Row],[PMT NO]]&lt;&gt;"",IF(ROW()-ROW(PaymentSchedule[[#Headers],[BEGINNING BALANCE]])=1,LoanAmount,INDEX(PaymentSchedule[ENDING BALANCE],ROW()-ROW(PaymentSchedule[[#Headers],[BEGINNING BALANCE]])-1)),"")</f>
        <v>246311.58663608131</v>
      </c>
      <c r="E24" s="177">
        <f>IF(PaymentSchedule[[#This Row],[PMT NO]]&lt;&gt;"",ScheduledPayment,"")</f>
        <v>1342.0540575303476</v>
      </c>
      <c r="F2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" s="177">
        <f>IF(PaymentSchedule[[#This Row],[PMT NO]]&lt;&gt;"",PaymentSchedule[[#This Row],[TOTAL PAYMENT]]-PaymentSchedule[[#This Row],[INTEREST]],"")</f>
        <v>315.75577988000873</v>
      </c>
      <c r="I24" s="177">
        <f>IF(PaymentSchedule[[#This Row],[PMT NO]]&lt;&gt;"",PaymentSchedule[[#This Row],[BEGINNING BALANCE]]*(InterestRate/PaymentsPerYear),"")</f>
        <v>1026.2982776503388</v>
      </c>
      <c r="J2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245995.8308562013</v>
      </c>
      <c r="K24" s="177">
        <f>IF(PaymentSchedule[[#This Row],[PMT NO]]&lt;&gt;"",SUM(INDEX(PaymentSchedule[INTEREST],1,1):PaymentSchedule[[#This Row],[INTEREST]]),"")</f>
        <v>13442.53360409581</v>
      </c>
      <c r="L24" s="178"/>
    </row>
    <row r="25" spans="2:12" x14ac:dyDescent="0.2">
      <c r="B25" s="175">
        <f>IF(LoanIsGood,IF(ROW()-ROW(PaymentSchedule[[#Headers],[PMT NO]])&gt;ScheduledNumberOfPayments,"",ROW()-ROW(PaymentSchedule[[#Headers],[PMT NO]])),"")</f>
        <v>14</v>
      </c>
      <c r="C25" s="176">
        <f>IF(PaymentSchedule[[#This Row],[PMT NO]]&lt;&gt;"",EOMONTH(LoanStartDate,ROW(PaymentSchedule[[#This Row],[PMT NO]])-ROW(PaymentSchedule[[#Headers],[PMT NO]])-2)+DAY(LoanStartDate),"")</f>
        <v>45413</v>
      </c>
      <c r="D25" s="177">
        <f>IF(PaymentSchedule[[#This Row],[PMT NO]]&lt;&gt;"",IF(ROW()-ROW(PaymentSchedule[[#Headers],[BEGINNING BALANCE]])=1,LoanAmount,INDEX(PaymentSchedule[ENDING BALANCE],ROW()-ROW(PaymentSchedule[[#Headers],[BEGINNING BALANCE]])-1)),"")</f>
        <v>245995.8308562013</v>
      </c>
      <c r="E25" s="177">
        <f>IF(PaymentSchedule[[#This Row],[PMT NO]]&lt;&gt;"",ScheduledPayment,"")</f>
        <v>1342.0540575303476</v>
      </c>
      <c r="F2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" s="177">
        <f>IF(PaymentSchedule[[#This Row],[PMT NO]]&lt;&gt;"",PaymentSchedule[[#This Row],[TOTAL PAYMENT]]-PaymentSchedule[[#This Row],[INTEREST]],"")</f>
        <v>317.07142896284222</v>
      </c>
      <c r="I25" s="177">
        <f>IF(PaymentSchedule[[#This Row],[PMT NO]]&lt;&gt;"",PaymentSchedule[[#This Row],[BEGINNING BALANCE]]*(InterestRate/PaymentsPerYear),"")</f>
        <v>1024.9826285675053</v>
      </c>
      <c r="J2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245678.75942723846</v>
      </c>
      <c r="K25" s="177">
        <f>IF(PaymentSchedule[[#This Row],[PMT NO]]&lt;&gt;"",SUM(INDEX(PaymentSchedule[INTEREST],1,1):PaymentSchedule[[#This Row],[INTEREST]]),"")</f>
        <v>14467.516232663314</v>
      </c>
      <c r="L25" s="178"/>
    </row>
    <row r="26" spans="2:12" x14ac:dyDescent="0.2">
      <c r="B26" s="175">
        <f>IF(LoanIsGood,IF(ROW()-ROW(PaymentSchedule[[#Headers],[PMT NO]])&gt;ScheduledNumberOfPayments,"",ROW()-ROW(PaymentSchedule[[#Headers],[PMT NO]])),"")</f>
        <v>15</v>
      </c>
      <c r="C26" s="176">
        <f>IF(PaymentSchedule[[#This Row],[PMT NO]]&lt;&gt;"",EOMONTH(LoanStartDate,ROW(PaymentSchedule[[#This Row],[PMT NO]])-ROW(PaymentSchedule[[#Headers],[PMT NO]])-2)+DAY(LoanStartDate),"")</f>
        <v>45444</v>
      </c>
      <c r="D26" s="177">
        <f>IF(PaymentSchedule[[#This Row],[PMT NO]]&lt;&gt;"",IF(ROW()-ROW(PaymentSchedule[[#Headers],[BEGINNING BALANCE]])=1,LoanAmount,INDEX(PaymentSchedule[ENDING BALANCE],ROW()-ROW(PaymentSchedule[[#Headers],[BEGINNING BALANCE]])-1)),"")</f>
        <v>245678.75942723846</v>
      </c>
      <c r="E26" s="177">
        <f>IF(PaymentSchedule[[#This Row],[PMT NO]]&lt;&gt;"",ScheduledPayment,"")</f>
        <v>1342.0540575303476</v>
      </c>
      <c r="F2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" s="177">
        <f>IF(PaymentSchedule[[#This Row],[PMT NO]]&lt;&gt;"",PaymentSchedule[[#This Row],[TOTAL PAYMENT]]-PaymentSchedule[[#This Row],[INTEREST]],"")</f>
        <v>318.392559916854</v>
      </c>
      <c r="I26" s="177">
        <f>IF(PaymentSchedule[[#This Row],[PMT NO]]&lt;&gt;"",PaymentSchedule[[#This Row],[BEGINNING BALANCE]]*(InterestRate/PaymentsPerYear),"")</f>
        <v>1023.6614976134936</v>
      </c>
      <c r="J2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245360.3668673216</v>
      </c>
      <c r="K26" s="177">
        <f>IF(PaymentSchedule[[#This Row],[PMT NO]]&lt;&gt;"",SUM(INDEX(PaymentSchedule[INTEREST],1,1):PaymentSchedule[[#This Row],[INTEREST]]),"")</f>
        <v>15491.177730276808</v>
      </c>
      <c r="L26" s="178"/>
    </row>
    <row r="27" spans="2:12" x14ac:dyDescent="0.2">
      <c r="B27" s="175">
        <f>IF(LoanIsGood,IF(ROW()-ROW(PaymentSchedule[[#Headers],[PMT NO]])&gt;ScheduledNumberOfPayments,"",ROW()-ROW(PaymentSchedule[[#Headers],[PMT NO]])),"")</f>
        <v>16</v>
      </c>
      <c r="C27" s="176">
        <f>IF(PaymentSchedule[[#This Row],[PMT NO]]&lt;&gt;"",EOMONTH(LoanStartDate,ROW(PaymentSchedule[[#This Row],[PMT NO]])-ROW(PaymentSchedule[[#Headers],[PMT NO]])-2)+DAY(LoanStartDate),"")</f>
        <v>45474</v>
      </c>
      <c r="D27" s="177">
        <f>IF(PaymentSchedule[[#This Row],[PMT NO]]&lt;&gt;"",IF(ROW()-ROW(PaymentSchedule[[#Headers],[BEGINNING BALANCE]])=1,LoanAmount,INDEX(PaymentSchedule[ENDING BALANCE],ROW()-ROW(PaymentSchedule[[#Headers],[BEGINNING BALANCE]])-1)),"")</f>
        <v>245360.3668673216</v>
      </c>
      <c r="E27" s="177">
        <f>IF(PaymentSchedule[[#This Row],[PMT NO]]&lt;&gt;"",ScheduledPayment,"")</f>
        <v>1342.0540575303476</v>
      </c>
      <c r="F2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" s="177">
        <f>IF(PaymentSchedule[[#This Row],[PMT NO]]&lt;&gt;"",PaymentSchedule[[#This Row],[TOTAL PAYMENT]]-PaymentSchedule[[#This Row],[INTEREST]],"")</f>
        <v>319.71919558317427</v>
      </c>
      <c r="I27" s="177">
        <f>IF(PaymentSchedule[[#This Row],[PMT NO]]&lt;&gt;"",PaymentSchedule[[#This Row],[BEGINNING BALANCE]]*(InterestRate/PaymentsPerYear),"")</f>
        <v>1022.3348619471733</v>
      </c>
      <c r="J2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245040.64767173844</v>
      </c>
      <c r="K27" s="177">
        <f>IF(PaymentSchedule[[#This Row],[PMT NO]]&lt;&gt;"",SUM(INDEX(PaymentSchedule[INTEREST],1,1):PaymentSchedule[[#This Row],[INTEREST]]),"")</f>
        <v>16513.512592223982</v>
      </c>
      <c r="L27" s="178"/>
    </row>
    <row r="28" spans="2:12" x14ac:dyDescent="0.2">
      <c r="B28" s="175">
        <f>IF(LoanIsGood,IF(ROW()-ROW(PaymentSchedule[[#Headers],[PMT NO]])&gt;ScheduledNumberOfPayments,"",ROW()-ROW(PaymentSchedule[[#Headers],[PMT NO]])),"")</f>
        <v>17</v>
      </c>
      <c r="C28" s="176">
        <f>IF(PaymentSchedule[[#This Row],[PMT NO]]&lt;&gt;"",EOMONTH(LoanStartDate,ROW(PaymentSchedule[[#This Row],[PMT NO]])-ROW(PaymentSchedule[[#Headers],[PMT NO]])-2)+DAY(LoanStartDate),"")</f>
        <v>45505</v>
      </c>
      <c r="D28" s="177">
        <f>IF(PaymentSchedule[[#This Row],[PMT NO]]&lt;&gt;"",IF(ROW()-ROW(PaymentSchedule[[#Headers],[BEGINNING BALANCE]])=1,LoanAmount,INDEX(PaymentSchedule[ENDING BALANCE],ROW()-ROW(PaymentSchedule[[#Headers],[BEGINNING BALANCE]])-1)),"")</f>
        <v>245040.64767173844</v>
      </c>
      <c r="E28" s="177">
        <f>IF(PaymentSchedule[[#This Row],[PMT NO]]&lt;&gt;"",ScheduledPayment,"")</f>
        <v>1342.0540575303476</v>
      </c>
      <c r="F2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" s="177">
        <f>IF(PaymentSchedule[[#This Row],[PMT NO]]&lt;&gt;"",PaymentSchedule[[#This Row],[TOTAL PAYMENT]]-PaymentSchedule[[#This Row],[INTEREST]],"")</f>
        <v>321.05135889810413</v>
      </c>
      <c r="I28" s="177">
        <f>IF(PaymentSchedule[[#This Row],[PMT NO]]&lt;&gt;"",PaymentSchedule[[#This Row],[BEGINNING BALANCE]]*(InterestRate/PaymentsPerYear),"")</f>
        <v>1021.0026986322434</v>
      </c>
      <c r="J2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244719.59631284032</v>
      </c>
      <c r="K28" s="177">
        <f>IF(PaymentSchedule[[#This Row],[PMT NO]]&lt;&gt;"",SUM(INDEX(PaymentSchedule[INTEREST],1,1):PaymentSchedule[[#This Row],[INTEREST]]),"")</f>
        <v>17534.515290856227</v>
      </c>
      <c r="L28" s="178"/>
    </row>
    <row r="29" spans="2:12" x14ac:dyDescent="0.2">
      <c r="B29" s="175">
        <f>IF(LoanIsGood,IF(ROW()-ROW(PaymentSchedule[[#Headers],[PMT NO]])&gt;ScheduledNumberOfPayments,"",ROW()-ROW(PaymentSchedule[[#Headers],[PMT NO]])),"")</f>
        <v>18</v>
      </c>
      <c r="C29" s="176">
        <f>IF(PaymentSchedule[[#This Row],[PMT NO]]&lt;&gt;"",EOMONTH(LoanStartDate,ROW(PaymentSchedule[[#This Row],[PMT NO]])-ROW(PaymentSchedule[[#Headers],[PMT NO]])-2)+DAY(LoanStartDate),"")</f>
        <v>45536</v>
      </c>
      <c r="D29" s="177">
        <f>IF(PaymentSchedule[[#This Row],[PMT NO]]&lt;&gt;"",IF(ROW()-ROW(PaymentSchedule[[#Headers],[BEGINNING BALANCE]])=1,LoanAmount,INDEX(PaymentSchedule[ENDING BALANCE],ROW()-ROW(PaymentSchedule[[#Headers],[BEGINNING BALANCE]])-1)),"")</f>
        <v>244719.59631284032</v>
      </c>
      <c r="E29" s="177">
        <f>IF(PaymentSchedule[[#This Row],[PMT NO]]&lt;&gt;"",ScheduledPayment,"")</f>
        <v>1342.0540575303476</v>
      </c>
      <c r="F2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" s="177">
        <f>IF(PaymentSchedule[[#This Row],[PMT NO]]&lt;&gt;"",PaymentSchedule[[#This Row],[TOTAL PAYMENT]]-PaymentSchedule[[#This Row],[INTEREST]],"")</f>
        <v>322.38907289351289</v>
      </c>
      <c r="I29" s="177">
        <f>IF(PaymentSchedule[[#This Row],[PMT NO]]&lt;&gt;"",PaymentSchedule[[#This Row],[BEGINNING BALANCE]]*(InterestRate/PaymentsPerYear),"")</f>
        <v>1019.6649846368347</v>
      </c>
      <c r="J2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244397.20723994682</v>
      </c>
      <c r="K29" s="177">
        <f>IF(PaymentSchedule[[#This Row],[PMT NO]]&lt;&gt;"",SUM(INDEX(PaymentSchedule[INTEREST],1,1):PaymentSchedule[[#This Row],[INTEREST]]),"")</f>
        <v>18554.180275493061</v>
      </c>
      <c r="L29" s="178"/>
    </row>
    <row r="30" spans="2:12" x14ac:dyDescent="0.2">
      <c r="B30" s="175">
        <f>IF(LoanIsGood,IF(ROW()-ROW(PaymentSchedule[[#Headers],[PMT NO]])&gt;ScheduledNumberOfPayments,"",ROW()-ROW(PaymentSchedule[[#Headers],[PMT NO]])),"")</f>
        <v>19</v>
      </c>
      <c r="C30" s="176">
        <f>IF(PaymentSchedule[[#This Row],[PMT NO]]&lt;&gt;"",EOMONTH(LoanStartDate,ROW(PaymentSchedule[[#This Row],[PMT NO]])-ROW(PaymentSchedule[[#Headers],[PMT NO]])-2)+DAY(LoanStartDate),"")</f>
        <v>45566</v>
      </c>
      <c r="D30" s="177">
        <f>IF(PaymentSchedule[[#This Row],[PMT NO]]&lt;&gt;"",IF(ROW()-ROW(PaymentSchedule[[#Headers],[BEGINNING BALANCE]])=1,LoanAmount,INDEX(PaymentSchedule[ENDING BALANCE],ROW()-ROW(PaymentSchedule[[#Headers],[BEGINNING BALANCE]])-1)),"")</f>
        <v>244397.20723994682</v>
      </c>
      <c r="E30" s="177">
        <f>IF(PaymentSchedule[[#This Row],[PMT NO]]&lt;&gt;"",ScheduledPayment,"")</f>
        <v>1342.0540575303476</v>
      </c>
      <c r="F3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" s="177">
        <f>IF(PaymentSchedule[[#This Row],[PMT NO]]&lt;&gt;"",PaymentSchedule[[#This Row],[TOTAL PAYMENT]]-PaymentSchedule[[#This Row],[INTEREST]],"")</f>
        <v>323.73236069723589</v>
      </c>
      <c r="I30" s="177">
        <f>IF(PaymentSchedule[[#This Row],[PMT NO]]&lt;&gt;"",PaymentSchedule[[#This Row],[BEGINNING BALANCE]]*(InterestRate/PaymentsPerYear),"")</f>
        <v>1018.3216968331117</v>
      </c>
      <c r="J3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244073.47487924958</v>
      </c>
      <c r="K30" s="177">
        <f>IF(PaymentSchedule[[#This Row],[PMT NO]]&lt;&gt;"",SUM(INDEX(PaymentSchedule[INTEREST],1,1):PaymentSchedule[[#This Row],[INTEREST]]),"")</f>
        <v>19572.501972326172</v>
      </c>
      <c r="L30" s="178"/>
    </row>
    <row r="31" spans="2:12" x14ac:dyDescent="0.2">
      <c r="B31" s="175">
        <f>IF(LoanIsGood,IF(ROW()-ROW(PaymentSchedule[[#Headers],[PMT NO]])&gt;ScheduledNumberOfPayments,"",ROW()-ROW(PaymentSchedule[[#Headers],[PMT NO]])),"")</f>
        <v>20</v>
      </c>
      <c r="C31" s="176">
        <f>IF(PaymentSchedule[[#This Row],[PMT NO]]&lt;&gt;"",EOMONTH(LoanStartDate,ROW(PaymentSchedule[[#This Row],[PMT NO]])-ROW(PaymentSchedule[[#Headers],[PMT NO]])-2)+DAY(LoanStartDate),"")</f>
        <v>45597</v>
      </c>
      <c r="D31" s="177">
        <f>IF(PaymentSchedule[[#This Row],[PMT NO]]&lt;&gt;"",IF(ROW()-ROW(PaymentSchedule[[#Headers],[BEGINNING BALANCE]])=1,LoanAmount,INDEX(PaymentSchedule[ENDING BALANCE],ROW()-ROW(PaymentSchedule[[#Headers],[BEGINNING BALANCE]])-1)),"")</f>
        <v>244073.47487924958</v>
      </c>
      <c r="E31" s="177">
        <f>IF(PaymentSchedule[[#This Row],[PMT NO]]&lt;&gt;"",ScheduledPayment,"")</f>
        <v>1342.0540575303476</v>
      </c>
      <c r="F3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" s="177">
        <f>IF(PaymentSchedule[[#This Row],[PMT NO]]&lt;&gt;"",PaymentSchedule[[#This Row],[TOTAL PAYMENT]]-PaymentSchedule[[#This Row],[INTEREST]],"")</f>
        <v>325.08124553347432</v>
      </c>
      <c r="I31" s="177">
        <f>IF(PaymentSchedule[[#This Row],[PMT NO]]&lt;&gt;"",PaymentSchedule[[#This Row],[BEGINNING BALANCE]]*(InterestRate/PaymentsPerYear),"")</f>
        <v>1016.9728119968732</v>
      </c>
      <c r="J3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243748.3936337161</v>
      </c>
      <c r="K31" s="177">
        <f>IF(PaymentSchedule[[#This Row],[PMT NO]]&lt;&gt;"",SUM(INDEX(PaymentSchedule[INTEREST],1,1):PaymentSchedule[[#This Row],[INTEREST]]),"")</f>
        <v>20589.474784323047</v>
      </c>
      <c r="L31" s="178"/>
    </row>
    <row r="32" spans="2:12" x14ac:dyDescent="0.2">
      <c r="B32" s="175">
        <f>IF(LoanIsGood,IF(ROW()-ROW(PaymentSchedule[[#Headers],[PMT NO]])&gt;ScheduledNumberOfPayments,"",ROW()-ROW(PaymentSchedule[[#Headers],[PMT NO]])),"")</f>
        <v>21</v>
      </c>
      <c r="C32" s="176">
        <f>IF(PaymentSchedule[[#This Row],[PMT NO]]&lt;&gt;"",EOMONTH(LoanStartDate,ROW(PaymentSchedule[[#This Row],[PMT NO]])-ROW(PaymentSchedule[[#Headers],[PMT NO]])-2)+DAY(LoanStartDate),"")</f>
        <v>45627</v>
      </c>
      <c r="D32" s="177">
        <f>IF(PaymentSchedule[[#This Row],[PMT NO]]&lt;&gt;"",IF(ROW()-ROW(PaymentSchedule[[#Headers],[BEGINNING BALANCE]])=1,LoanAmount,INDEX(PaymentSchedule[ENDING BALANCE],ROW()-ROW(PaymentSchedule[[#Headers],[BEGINNING BALANCE]])-1)),"")</f>
        <v>243748.3936337161</v>
      </c>
      <c r="E32" s="177">
        <f>IF(PaymentSchedule[[#This Row],[PMT NO]]&lt;&gt;"",ScheduledPayment,"")</f>
        <v>1342.0540575303476</v>
      </c>
      <c r="F3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" s="177">
        <f>IF(PaymentSchedule[[#This Row],[PMT NO]]&lt;&gt;"",PaymentSchedule[[#This Row],[TOTAL PAYMENT]]-PaymentSchedule[[#This Row],[INTEREST]],"")</f>
        <v>326.4357507231972</v>
      </c>
      <c r="I32" s="177">
        <f>IF(PaymentSchedule[[#This Row],[PMT NO]]&lt;&gt;"",PaymentSchedule[[#This Row],[BEGINNING BALANCE]]*(InterestRate/PaymentsPerYear),"")</f>
        <v>1015.6183068071504</v>
      </c>
      <c r="J3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243421.95788299289</v>
      </c>
      <c r="K32" s="177">
        <f>IF(PaymentSchedule[[#This Row],[PMT NO]]&lt;&gt;"",SUM(INDEX(PaymentSchedule[INTEREST],1,1):PaymentSchedule[[#This Row],[INTEREST]]),"")</f>
        <v>21605.093091130198</v>
      </c>
      <c r="L32" s="178"/>
    </row>
    <row r="33" spans="2:12" x14ac:dyDescent="0.2">
      <c r="B33" s="175">
        <f>IF(LoanIsGood,IF(ROW()-ROW(PaymentSchedule[[#Headers],[PMT NO]])&gt;ScheduledNumberOfPayments,"",ROW()-ROW(PaymentSchedule[[#Headers],[PMT NO]])),"")</f>
        <v>22</v>
      </c>
      <c r="C33" s="176">
        <f>IF(PaymentSchedule[[#This Row],[PMT NO]]&lt;&gt;"",EOMONTH(LoanStartDate,ROW(PaymentSchedule[[#This Row],[PMT NO]])-ROW(PaymentSchedule[[#Headers],[PMT NO]])-2)+DAY(LoanStartDate),"")</f>
        <v>45658</v>
      </c>
      <c r="D33" s="177">
        <f>IF(PaymentSchedule[[#This Row],[PMT NO]]&lt;&gt;"",IF(ROW()-ROW(PaymentSchedule[[#Headers],[BEGINNING BALANCE]])=1,LoanAmount,INDEX(PaymentSchedule[ENDING BALANCE],ROW()-ROW(PaymentSchedule[[#Headers],[BEGINNING BALANCE]])-1)),"")</f>
        <v>243421.95788299289</v>
      </c>
      <c r="E33" s="177">
        <f>IF(PaymentSchedule[[#This Row],[PMT NO]]&lt;&gt;"",ScheduledPayment,"")</f>
        <v>1342.0540575303476</v>
      </c>
      <c r="F3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" s="177">
        <f>IF(PaymentSchedule[[#This Row],[PMT NO]]&lt;&gt;"",PaymentSchedule[[#This Row],[TOTAL PAYMENT]]-PaymentSchedule[[#This Row],[INTEREST]],"")</f>
        <v>327.79589968454388</v>
      </c>
      <c r="I33" s="177">
        <f>IF(PaymentSchedule[[#This Row],[PMT NO]]&lt;&gt;"",PaymentSchedule[[#This Row],[BEGINNING BALANCE]]*(InterestRate/PaymentsPerYear),"")</f>
        <v>1014.2581578458037</v>
      </c>
      <c r="J3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243094.16198330835</v>
      </c>
      <c r="K33" s="177">
        <f>IF(PaymentSchedule[[#This Row],[PMT NO]]&lt;&gt;"",SUM(INDEX(PaymentSchedule[INTEREST],1,1):PaymentSchedule[[#This Row],[INTEREST]]),"")</f>
        <v>22619.351248976003</v>
      </c>
      <c r="L33" s="178"/>
    </row>
    <row r="34" spans="2:12" x14ac:dyDescent="0.2">
      <c r="B34" s="175">
        <f>IF(LoanIsGood,IF(ROW()-ROW(PaymentSchedule[[#Headers],[PMT NO]])&gt;ScheduledNumberOfPayments,"",ROW()-ROW(PaymentSchedule[[#Headers],[PMT NO]])),"")</f>
        <v>23</v>
      </c>
      <c r="C34" s="176">
        <f>IF(PaymentSchedule[[#This Row],[PMT NO]]&lt;&gt;"",EOMONTH(LoanStartDate,ROW(PaymentSchedule[[#This Row],[PMT NO]])-ROW(PaymentSchedule[[#Headers],[PMT NO]])-2)+DAY(LoanStartDate),"")</f>
        <v>45689</v>
      </c>
      <c r="D34" s="177">
        <f>IF(PaymentSchedule[[#This Row],[PMT NO]]&lt;&gt;"",IF(ROW()-ROW(PaymentSchedule[[#Headers],[BEGINNING BALANCE]])=1,LoanAmount,INDEX(PaymentSchedule[ENDING BALANCE],ROW()-ROW(PaymentSchedule[[#Headers],[BEGINNING BALANCE]])-1)),"")</f>
        <v>243094.16198330835</v>
      </c>
      <c r="E34" s="177">
        <f>IF(PaymentSchedule[[#This Row],[PMT NO]]&lt;&gt;"",ScheduledPayment,"")</f>
        <v>1342.0540575303476</v>
      </c>
      <c r="F3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" s="177">
        <f>IF(PaymentSchedule[[#This Row],[PMT NO]]&lt;&gt;"",PaymentSchedule[[#This Row],[TOTAL PAYMENT]]-PaymentSchedule[[#This Row],[INTEREST]],"")</f>
        <v>329.1617159332294</v>
      </c>
      <c r="I34" s="177">
        <f>IF(PaymentSchedule[[#This Row],[PMT NO]]&lt;&gt;"",PaymentSchedule[[#This Row],[BEGINNING BALANCE]]*(InterestRate/PaymentsPerYear),"")</f>
        <v>1012.8923415971182</v>
      </c>
      <c r="J3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242765.00026737512</v>
      </c>
      <c r="K34" s="177">
        <f>IF(PaymentSchedule[[#This Row],[PMT NO]]&lt;&gt;"",SUM(INDEX(PaymentSchedule[INTEREST],1,1):PaymentSchedule[[#This Row],[INTEREST]]),"")</f>
        <v>23632.243590573122</v>
      </c>
      <c r="L34" s="178"/>
    </row>
    <row r="35" spans="2:12" x14ac:dyDescent="0.2">
      <c r="B35" s="175">
        <f>IF(LoanIsGood,IF(ROW()-ROW(PaymentSchedule[[#Headers],[PMT NO]])&gt;ScheduledNumberOfPayments,"",ROW()-ROW(PaymentSchedule[[#Headers],[PMT NO]])),"")</f>
        <v>24</v>
      </c>
      <c r="C35" s="176">
        <f>IF(PaymentSchedule[[#This Row],[PMT NO]]&lt;&gt;"",EOMONTH(LoanStartDate,ROW(PaymentSchedule[[#This Row],[PMT NO]])-ROW(PaymentSchedule[[#Headers],[PMT NO]])-2)+DAY(LoanStartDate),"")</f>
        <v>45717</v>
      </c>
      <c r="D35" s="177">
        <f>IF(PaymentSchedule[[#This Row],[PMT NO]]&lt;&gt;"",IF(ROW()-ROW(PaymentSchedule[[#Headers],[BEGINNING BALANCE]])=1,LoanAmount,INDEX(PaymentSchedule[ENDING BALANCE],ROW()-ROW(PaymentSchedule[[#Headers],[BEGINNING BALANCE]])-1)),"")</f>
        <v>242765.00026737512</v>
      </c>
      <c r="E35" s="177">
        <f>IF(PaymentSchedule[[#This Row],[PMT NO]]&lt;&gt;"",ScheduledPayment,"")</f>
        <v>1342.0540575303476</v>
      </c>
      <c r="F3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" s="177">
        <f>IF(PaymentSchedule[[#This Row],[PMT NO]]&lt;&gt;"",PaymentSchedule[[#This Row],[TOTAL PAYMENT]]-PaymentSchedule[[#This Row],[INTEREST]],"")</f>
        <v>330.53322308295128</v>
      </c>
      <c r="I35" s="177">
        <f>IF(PaymentSchedule[[#This Row],[PMT NO]]&lt;&gt;"",PaymentSchedule[[#This Row],[BEGINNING BALANCE]]*(InterestRate/PaymentsPerYear),"")</f>
        <v>1011.5208344473963</v>
      </c>
      <c r="J3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242434.46704429216</v>
      </c>
      <c r="K35" s="177">
        <f>IF(PaymentSchedule[[#This Row],[PMT NO]]&lt;&gt;"",SUM(INDEX(PaymentSchedule[INTEREST],1,1):PaymentSchedule[[#This Row],[INTEREST]]),"")</f>
        <v>24643.764425020519</v>
      </c>
      <c r="L35" s="178"/>
    </row>
    <row r="36" spans="2:12" x14ac:dyDescent="0.2">
      <c r="B36" s="175">
        <f>IF(LoanIsGood,IF(ROW()-ROW(PaymentSchedule[[#Headers],[PMT NO]])&gt;ScheduledNumberOfPayments,"",ROW()-ROW(PaymentSchedule[[#Headers],[PMT NO]])),"")</f>
        <v>25</v>
      </c>
      <c r="C36" s="176">
        <f>IF(PaymentSchedule[[#This Row],[PMT NO]]&lt;&gt;"",EOMONTH(LoanStartDate,ROW(PaymentSchedule[[#This Row],[PMT NO]])-ROW(PaymentSchedule[[#Headers],[PMT NO]])-2)+DAY(LoanStartDate),"")</f>
        <v>45748</v>
      </c>
      <c r="D36" s="177">
        <f>IF(PaymentSchedule[[#This Row],[PMT NO]]&lt;&gt;"",IF(ROW()-ROW(PaymentSchedule[[#Headers],[BEGINNING BALANCE]])=1,LoanAmount,INDEX(PaymentSchedule[ENDING BALANCE],ROW()-ROW(PaymentSchedule[[#Headers],[BEGINNING BALANCE]])-1)),"")</f>
        <v>242434.46704429216</v>
      </c>
      <c r="E36" s="177">
        <f>IF(PaymentSchedule[[#This Row],[PMT NO]]&lt;&gt;"",ScheduledPayment,"")</f>
        <v>1342.0540575303476</v>
      </c>
      <c r="F3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" s="177">
        <f>IF(PaymentSchedule[[#This Row],[PMT NO]]&lt;&gt;"",PaymentSchedule[[#This Row],[TOTAL PAYMENT]]-PaymentSchedule[[#This Row],[INTEREST]],"")</f>
        <v>331.91044484579686</v>
      </c>
      <c r="I36" s="177">
        <f>IF(PaymentSchedule[[#This Row],[PMT NO]]&lt;&gt;"",PaymentSchedule[[#This Row],[BEGINNING BALANCE]]*(InterestRate/PaymentsPerYear),"")</f>
        <v>1010.1436126845507</v>
      </c>
      <c r="J3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242102.55659944637</v>
      </c>
      <c r="K36" s="177">
        <f>IF(PaymentSchedule[[#This Row],[PMT NO]]&lt;&gt;"",SUM(INDEX(PaymentSchedule[INTEREST],1,1):PaymentSchedule[[#This Row],[INTEREST]]),"")</f>
        <v>25653.90803770507</v>
      </c>
      <c r="L36" s="178"/>
    </row>
    <row r="37" spans="2:12" x14ac:dyDescent="0.2">
      <c r="B37" s="175">
        <f>IF(LoanIsGood,IF(ROW()-ROW(PaymentSchedule[[#Headers],[PMT NO]])&gt;ScheduledNumberOfPayments,"",ROW()-ROW(PaymentSchedule[[#Headers],[PMT NO]])),"")</f>
        <v>26</v>
      </c>
      <c r="C37" s="176">
        <f>IF(PaymentSchedule[[#This Row],[PMT NO]]&lt;&gt;"",EOMONTH(LoanStartDate,ROW(PaymentSchedule[[#This Row],[PMT NO]])-ROW(PaymentSchedule[[#Headers],[PMT NO]])-2)+DAY(LoanStartDate),"")</f>
        <v>45778</v>
      </c>
      <c r="D37" s="177">
        <f>IF(PaymentSchedule[[#This Row],[PMT NO]]&lt;&gt;"",IF(ROW()-ROW(PaymentSchedule[[#Headers],[BEGINNING BALANCE]])=1,LoanAmount,INDEX(PaymentSchedule[ENDING BALANCE],ROW()-ROW(PaymentSchedule[[#Headers],[BEGINNING BALANCE]])-1)),"")</f>
        <v>242102.55659944637</v>
      </c>
      <c r="E37" s="177">
        <f>IF(PaymentSchedule[[#This Row],[PMT NO]]&lt;&gt;"",ScheduledPayment,"")</f>
        <v>1342.0540575303476</v>
      </c>
      <c r="F3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7" s="177">
        <f>IF(PaymentSchedule[[#This Row],[PMT NO]]&lt;&gt;"",PaymentSchedule[[#This Row],[TOTAL PAYMENT]]-PaymentSchedule[[#This Row],[INTEREST]],"")</f>
        <v>333.29340503265439</v>
      </c>
      <c r="I37" s="177">
        <f>IF(PaymentSchedule[[#This Row],[PMT NO]]&lt;&gt;"",PaymentSchedule[[#This Row],[BEGINNING BALANCE]]*(InterestRate/PaymentsPerYear),"")</f>
        <v>1008.7606524976932</v>
      </c>
      <c r="J3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241769.26319441371</v>
      </c>
      <c r="K37" s="177">
        <f>IF(PaymentSchedule[[#This Row],[PMT NO]]&lt;&gt;"",SUM(INDEX(PaymentSchedule[INTEREST],1,1):PaymentSchedule[[#This Row],[INTEREST]]),"")</f>
        <v>26662.668690202765</v>
      </c>
      <c r="L37" s="178"/>
    </row>
    <row r="38" spans="2:12" x14ac:dyDescent="0.2">
      <c r="B38" s="175">
        <f>IF(LoanIsGood,IF(ROW()-ROW(PaymentSchedule[[#Headers],[PMT NO]])&gt;ScheduledNumberOfPayments,"",ROW()-ROW(PaymentSchedule[[#Headers],[PMT NO]])),"")</f>
        <v>27</v>
      </c>
      <c r="C38" s="176">
        <f>IF(PaymentSchedule[[#This Row],[PMT NO]]&lt;&gt;"",EOMONTH(LoanStartDate,ROW(PaymentSchedule[[#This Row],[PMT NO]])-ROW(PaymentSchedule[[#Headers],[PMT NO]])-2)+DAY(LoanStartDate),"")</f>
        <v>45809</v>
      </c>
      <c r="D38" s="177">
        <f>IF(PaymentSchedule[[#This Row],[PMT NO]]&lt;&gt;"",IF(ROW()-ROW(PaymentSchedule[[#Headers],[BEGINNING BALANCE]])=1,LoanAmount,INDEX(PaymentSchedule[ENDING BALANCE],ROW()-ROW(PaymentSchedule[[#Headers],[BEGINNING BALANCE]])-1)),"")</f>
        <v>241769.26319441371</v>
      </c>
      <c r="E38" s="177">
        <f>IF(PaymentSchedule[[#This Row],[PMT NO]]&lt;&gt;"",ScheduledPayment,"")</f>
        <v>1342.0540575303476</v>
      </c>
      <c r="F3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8" s="177">
        <f>IF(PaymentSchedule[[#This Row],[PMT NO]]&lt;&gt;"",PaymentSchedule[[#This Row],[TOTAL PAYMENT]]-PaymentSchedule[[#This Row],[INTEREST]],"")</f>
        <v>334.68212755362379</v>
      </c>
      <c r="I38" s="177">
        <f>IF(PaymentSchedule[[#This Row],[PMT NO]]&lt;&gt;"",PaymentSchedule[[#This Row],[BEGINNING BALANCE]]*(InterestRate/PaymentsPerYear),"")</f>
        <v>1007.3719299767238</v>
      </c>
      <c r="J3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241434.58106686009</v>
      </c>
      <c r="K38" s="177">
        <f>IF(PaymentSchedule[[#This Row],[PMT NO]]&lt;&gt;"",SUM(INDEX(PaymentSchedule[INTEREST],1,1):PaymentSchedule[[#This Row],[INTEREST]]),"")</f>
        <v>27670.04062017949</v>
      </c>
      <c r="L38" s="178"/>
    </row>
    <row r="39" spans="2:12" x14ac:dyDescent="0.2">
      <c r="B39" s="175">
        <f>IF(LoanIsGood,IF(ROW()-ROW(PaymentSchedule[[#Headers],[PMT NO]])&gt;ScheduledNumberOfPayments,"",ROW()-ROW(PaymentSchedule[[#Headers],[PMT NO]])),"")</f>
        <v>28</v>
      </c>
      <c r="C39" s="176">
        <f>IF(PaymentSchedule[[#This Row],[PMT NO]]&lt;&gt;"",EOMONTH(LoanStartDate,ROW(PaymentSchedule[[#This Row],[PMT NO]])-ROW(PaymentSchedule[[#Headers],[PMT NO]])-2)+DAY(LoanStartDate),"")</f>
        <v>45839</v>
      </c>
      <c r="D39" s="177">
        <f>IF(PaymentSchedule[[#This Row],[PMT NO]]&lt;&gt;"",IF(ROW()-ROW(PaymentSchedule[[#Headers],[BEGINNING BALANCE]])=1,LoanAmount,INDEX(PaymentSchedule[ENDING BALANCE],ROW()-ROW(PaymentSchedule[[#Headers],[BEGINNING BALANCE]])-1)),"")</f>
        <v>241434.58106686009</v>
      </c>
      <c r="E39" s="177">
        <f>IF(PaymentSchedule[[#This Row],[PMT NO]]&lt;&gt;"",ScheduledPayment,"")</f>
        <v>1342.0540575303476</v>
      </c>
      <c r="F3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9" s="177">
        <f>IF(PaymentSchedule[[#This Row],[PMT NO]]&lt;&gt;"",PaymentSchedule[[#This Row],[TOTAL PAYMENT]]-PaymentSchedule[[#This Row],[INTEREST]],"")</f>
        <v>336.07663641843055</v>
      </c>
      <c r="I39" s="177">
        <f>IF(PaymentSchedule[[#This Row],[PMT NO]]&lt;&gt;"",PaymentSchedule[[#This Row],[BEGINNING BALANCE]]*(InterestRate/PaymentsPerYear),"")</f>
        <v>1005.977421111917</v>
      </c>
      <c r="J3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241098.50443044165</v>
      </c>
      <c r="K39" s="177">
        <f>IF(PaymentSchedule[[#This Row],[PMT NO]]&lt;&gt;"",SUM(INDEX(PaymentSchedule[INTEREST],1,1):PaymentSchedule[[#This Row],[INTEREST]]),"")</f>
        <v>28676.018041291409</v>
      </c>
      <c r="L39" s="178"/>
    </row>
    <row r="40" spans="2:12" x14ac:dyDescent="0.2">
      <c r="B40" s="175">
        <f>IF(LoanIsGood,IF(ROW()-ROW(PaymentSchedule[[#Headers],[PMT NO]])&gt;ScheduledNumberOfPayments,"",ROW()-ROW(PaymentSchedule[[#Headers],[PMT NO]])),"")</f>
        <v>29</v>
      </c>
      <c r="C40" s="176">
        <f>IF(PaymentSchedule[[#This Row],[PMT NO]]&lt;&gt;"",EOMONTH(LoanStartDate,ROW(PaymentSchedule[[#This Row],[PMT NO]])-ROW(PaymentSchedule[[#Headers],[PMT NO]])-2)+DAY(LoanStartDate),"")</f>
        <v>45870</v>
      </c>
      <c r="D40" s="177">
        <f>IF(PaymentSchedule[[#This Row],[PMT NO]]&lt;&gt;"",IF(ROW()-ROW(PaymentSchedule[[#Headers],[BEGINNING BALANCE]])=1,LoanAmount,INDEX(PaymentSchedule[ENDING BALANCE],ROW()-ROW(PaymentSchedule[[#Headers],[BEGINNING BALANCE]])-1)),"")</f>
        <v>241098.50443044165</v>
      </c>
      <c r="E40" s="177">
        <f>IF(PaymentSchedule[[#This Row],[PMT NO]]&lt;&gt;"",ScheduledPayment,"")</f>
        <v>1342.0540575303476</v>
      </c>
      <c r="F4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0" s="177">
        <f>IF(PaymentSchedule[[#This Row],[PMT NO]]&lt;&gt;"",PaymentSchedule[[#This Row],[TOTAL PAYMENT]]-PaymentSchedule[[#This Row],[INTEREST]],"")</f>
        <v>337.47695573684075</v>
      </c>
      <c r="I40" s="177">
        <f>IF(PaymentSchedule[[#This Row],[PMT NO]]&lt;&gt;"",PaymentSchedule[[#This Row],[BEGINNING BALANCE]]*(InterestRate/PaymentsPerYear),"")</f>
        <v>1004.5771017935068</v>
      </c>
      <c r="J4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240761.02747470481</v>
      </c>
      <c r="K40" s="177">
        <f>IF(PaymentSchedule[[#This Row],[PMT NO]]&lt;&gt;"",SUM(INDEX(PaymentSchedule[INTEREST],1,1):PaymentSchedule[[#This Row],[INTEREST]]),"")</f>
        <v>29680.595143084916</v>
      </c>
      <c r="L40" s="178"/>
    </row>
    <row r="41" spans="2:12" x14ac:dyDescent="0.2">
      <c r="B41" s="175">
        <f>IF(LoanIsGood,IF(ROW()-ROW(PaymentSchedule[[#Headers],[PMT NO]])&gt;ScheduledNumberOfPayments,"",ROW()-ROW(PaymentSchedule[[#Headers],[PMT NO]])),"")</f>
        <v>30</v>
      </c>
      <c r="C41" s="176">
        <f>IF(PaymentSchedule[[#This Row],[PMT NO]]&lt;&gt;"",EOMONTH(LoanStartDate,ROW(PaymentSchedule[[#This Row],[PMT NO]])-ROW(PaymentSchedule[[#Headers],[PMT NO]])-2)+DAY(LoanStartDate),"")</f>
        <v>45901</v>
      </c>
      <c r="D41" s="177">
        <f>IF(PaymentSchedule[[#This Row],[PMT NO]]&lt;&gt;"",IF(ROW()-ROW(PaymentSchedule[[#Headers],[BEGINNING BALANCE]])=1,LoanAmount,INDEX(PaymentSchedule[ENDING BALANCE],ROW()-ROW(PaymentSchedule[[#Headers],[BEGINNING BALANCE]])-1)),"")</f>
        <v>240761.02747470481</v>
      </c>
      <c r="E41" s="177">
        <f>IF(PaymentSchedule[[#This Row],[PMT NO]]&lt;&gt;"",ScheduledPayment,"")</f>
        <v>1342.0540575303476</v>
      </c>
      <c r="F4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1" s="177">
        <f>IF(PaymentSchedule[[#This Row],[PMT NO]]&lt;&gt;"",PaymentSchedule[[#This Row],[TOTAL PAYMENT]]-PaymentSchedule[[#This Row],[INTEREST]],"")</f>
        <v>338.88310971907754</v>
      </c>
      <c r="I41" s="177">
        <f>IF(PaymentSchedule[[#This Row],[PMT NO]]&lt;&gt;"",PaymentSchedule[[#This Row],[BEGINNING BALANCE]]*(InterestRate/PaymentsPerYear),"")</f>
        <v>1003.17094781127</v>
      </c>
      <c r="J4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240422.14436498572</v>
      </c>
      <c r="K41" s="177">
        <f>IF(PaymentSchedule[[#This Row],[PMT NO]]&lt;&gt;"",SUM(INDEX(PaymentSchedule[INTEREST],1,1):PaymentSchedule[[#This Row],[INTEREST]]),"")</f>
        <v>30683.766090896188</v>
      </c>
      <c r="L41" s="178"/>
    </row>
    <row r="42" spans="2:12" x14ac:dyDescent="0.2">
      <c r="B42" s="175">
        <f>IF(LoanIsGood,IF(ROW()-ROW(PaymentSchedule[[#Headers],[PMT NO]])&gt;ScheduledNumberOfPayments,"",ROW()-ROW(PaymentSchedule[[#Headers],[PMT NO]])),"")</f>
        <v>31</v>
      </c>
      <c r="C42" s="176">
        <f>IF(PaymentSchedule[[#This Row],[PMT NO]]&lt;&gt;"",EOMONTH(LoanStartDate,ROW(PaymentSchedule[[#This Row],[PMT NO]])-ROW(PaymentSchedule[[#Headers],[PMT NO]])-2)+DAY(LoanStartDate),"")</f>
        <v>45931</v>
      </c>
      <c r="D42" s="177">
        <f>IF(PaymentSchedule[[#This Row],[PMT NO]]&lt;&gt;"",IF(ROW()-ROW(PaymentSchedule[[#Headers],[BEGINNING BALANCE]])=1,LoanAmount,INDEX(PaymentSchedule[ENDING BALANCE],ROW()-ROW(PaymentSchedule[[#Headers],[BEGINNING BALANCE]])-1)),"")</f>
        <v>240422.14436498572</v>
      </c>
      <c r="E42" s="177">
        <f>IF(PaymentSchedule[[#This Row],[PMT NO]]&lt;&gt;"",ScheduledPayment,"")</f>
        <v>1342.0540575303476</v>
      </c>
      <c r="F4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2" s="177">
        <f>IF(PaymentSchedule[[#This Row],[PMT NO]]&lt;&gt;"",PaymentSchedule[[#This Row],[TOTAL PAYMENT]]-PaymentSchedule[[#This Row],[INTEREST]],"")</f>
        <v>340.29512267624034</v>
      </c>
      <c r="I42" s="177">
        <f>IF(PaymentSchedule[[#This Row],[PMT NO]]&lt;&gt;"",PaymentSchedule[[#This Row],[BEGINNING BALANCE]]*(InterestRate/PaymentsPerYear),"")</f>
        <v>1001.7589348541072</v>
      </c>
      <c r="J4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240081.84924230949</v>
      </c>
      <c r="K42" s="177">
        <f>IF(PaymentSchedule[[#This Row],[PMT NO]]&lt;&gt;"",SUM(INDEX(PaymentSchedule[INTEREST],1,1):PaymentSchedule[[#This Row],[INTEREST]]),"")</f>
        <v>31685.525025750296</v>
      </c>
      <c r="L42" s="178"/>
    </row>
    <row r="43" spans="2:12" x14ac:dyDescent="0.2">
      <c r="B43" s="175">
        <f>IF(LoanIsGood,IF(ROW()-ROW(PaymentSchedule[[#Headers],[PMT NO]])&gt;ScheduledNumberOfPayments,"",ROW()-ROW(PaymentSchedule[[#Headers],[PMT NO]])),"")</f>
        <v>32</v>
      </c>
      <c r="C43" s="176">
        <f>IF(PaymentSchedule[[#This Row],[PMT NO]]&lt;&gt;"",EOMONTH(LoanStartDate,ROW(PaymentSchedule[[#This Row],[PMT NO]])-ROW(PaymentSchedule[[#Headers],[PMT NO]])-2)+DAY(LoanStartDate),"")</f>
        <v>45962</v>
      </c>
      <c r="D43" s="177">
        <f>IF(PaymentSchedule[[#This Row],[PMT NO]]&lt;&gt;"",IF(ROW()-ROW(PaymentSchedule[[#Headers],[BEGINNING BALANCE]])=1,LoanAmount,INDEX(PaymentSchedule[ENDING BALANCE],ROW()-ROW(PaymentSchedule[[#Headers],[BEGINNING BALANCE]])-1)),"")</f>
        <v>240081.84924230949</v>
      </c>
      <c r="E43" s="177">
        <f>IF(PaymentSchedule[[#This Row],[PMT NO]]&lt;&gt;"",ScheduledPayment,"")</f>
        <v>1342.0540575303476</v>
      </c>
      <c r="F4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3" s="177">
        <f>IF(PaymentSchedule[[#This Row],[PMT NO]]&lt;&gt;"",PaymentSchedule[[#This Row],[TOTAL PAYMENT]]-PaymentSchedule[[#This Row],[INTEREST]],"")</f>
        <v>341.71301902072469</v>
      </c>
      <c r="I43" s="177">
        <f>IF(PaymentSchedule[[#This Row],[PMT NO]]&lt;&gt;"",PaymentSchedule[[#This Row],[BEGINNING BALANCE]]*(InterestRate/PaymentsPerYear),"")</f>
        <v>1000.3410385096229</v>
      </c>
      <c r="J4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239740.13622328875</v>
      </c>
      <c r="K43" s="177">
        <f>IF(PaymentSchedule[[#This Row],[PMT NO]]&lt;&gt;"",SUM(INDEX(PaymentSchedule[INTEREST],1,1):PaymentSchedule[[#This Row],[INTEREST]]),"")</f>
        <v>32685.866064259917</v>
      </c>
      <c r="L43" s="178"/>
    </row>
    <row r="44" spans="2:12" x14ac:dyDescent="0.2">
      <c r="B44" s="175">
        <f>IF(LoanIsGood,IF(ROW()-ROW(PaymentSchedule[[#Headers],[PMT NO]])&gt;ScheduledNumberOfPayments,"",ROW()-ROW(PaymentSchedule[[#Headers],[PMT NO]])),"")</f>
        <v>33</v>
      </c>
      <c r="C44" s="176">
        <f>IF(PaymentSchedule[[#This Row],[PMT NO]]&lt;&gt;"",EOMONTH(LoanStartDate,ROW(PaymentSchedule[[#This Row],[PMT NO]])-ROW(PaymentSchedule[[#Headers],[PMT NO]])-2)+DAY(LoanStartDate),"")</f>
        <v>45992</v>
      </c>
      <c r="D44" s="177">
        <f>IF(PaymentSchedule[[#This Row],[PMT NO]]&lt;&gt;"",IF(ROW()-ROW(PaymentSchedule[[#Headers],[BEGINNING BALANCE]])=1,LoanAmount,INDEX(PaymentSchedule[ENDING BALANCE],ROW()-ROW(PaymentSchedule[[#Headers],[BEGINNING BALANCE]])-1)),"")</f>
        <v>239740.13622328875</v>
      </c>
      <c r="E44" s="177">
        <f>IF(PaymentSchedule[[#This Row],[PMT NO]]&lt;&gt;"",ScheduledPayment,"")</f>
        <v>1342.0540575303476</v>
      </c>
      <c r="F4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4" s="177">
        <f>IF(PaymentSchedule[[#This Row],[PMT NO]]&lt;&gt;"",PaymentSchedule[[#This Row],[TOTAL PAYMENT]]-PaymentSchedule[[#This Row],[INTEREST]],"")</f>
        <v>343.13682326664446</v>
      </c>
      <c r="I44" s="177">
        <f>IF(PaymentSchedule[[#This Row],[PMT NO]]&lt;&gt;"",PaymentSchedule[[#This Row],[BEGINNING BALANCE]]*(InterestRate/PaymentsPerYear),"")</f>
        <v>998.91723426370311</v>
      </c>
      <c r="J4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239396.99940002209</v>
      </c>
      <c r="K44" s="177">
        <f>IF(PaymentSchedule[[#This Row],[PMT NO]]&lt;&gt;"",SUM(INDEX(PaymentSchedule[INTEREST],1,1):PaymentSchedule[[#This Row],[INTEREST]]),"")</f>
        <v>33684.783298523624</v>
      </c>
      <c r="L44" s="178"/>
    </row>
    <row r="45" spans="2:12" x14ac:dyDescent="0.2">
      <c r="B45" s="175">
        <f>IF(LoanIsGood,IF(ROW()-ROW(PaymentSchedule[[#Headers],[PMT NO]])&gt;ScheduledNumberOfPayments,"",ROW()-ROW(PaymentSchedule[[#Headers],[PMT NO]])),"")</f>
        <v>34</v>
      </c>
      <c r="C45" s="176">
        <f>IF(PaymentSchedule[[#This Row],[PMT NO]]&lt;&gt;"",EOMONTH(LoanStartDate,ROW(PaymentSchedule[[#This Row],[PMT NO]])-ROW(PaymentSchedule[[#Headers],[PMT NO]])-2)+DAY(LoanStartDate),"")</f>
        <v>46023</v>
      </c>
      <c r="D45" s="177">
        <f>IF(PaymentSchedule[[#This Row],[PMT NO]]&lt;&gt;"",IF(ROW()-ROW(PaymentSchedule[[#Headers],[BEGINNING BALANCE]])=1,LoanAmount,INDEX(PaymentSchedule[ENDING BALANCE],ROW()-ROW(PaymentSchedule[[#Headers],[BEGINNING BALANCE]])-1)),"")</f>
        <v>239396.99940002209</v>
      </c>
      <c r="E45" s="177">
        <f>IF(PaymentSchedule[[#This Row],[PMT NO]]&lt;&gt;"",ScheduledPayment,"")</f>
        <v>1342.0540575303476</v>
      </c>
      <c r="F4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5" s="177">
        <f>IF(PaymentSchedule[[#This Row],[PMT NO]]&lt;&gt;"",PaymentSchedule[[#This Row],[TOTAL PAYMENT]]-PaymentSchedule[[#This Row],[INTEREST]],"")</f>
        <v>344.56656003025557</v>
      </c>
      <c r="I45" s="177">
        <f>IF(PaymentSchedule[[#This Row],[PMT NO]]&lt;&gt;"",PaymentSchedule[[#This Row],[BEGINNING BALANCE]]*(InterestRate/PaymentsPerYear),"")</f>
        <v>997.48749750009199</v>
      </c>
      <c r="J4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239052.43283999184</v>
      </c>
      <c r="K45" s="177">
        <f>IF(PaymentSchedule[[#This Row],[PMT NO]]&lt;&gt;"",SUM(INDEX(PaymentSchedule[INTEREST],1,1):PaymentSchedule[[#This Row],[INTEREST]]),"")</f>
        <v>34682.270796023717</v>
      </c>
      <c r="L45" s="178"/>
    </row>
    <row r="46" spans="2:12" x14ac:dyDescent="0.2">
      <c r="B46" s="175">
        <f>IF(LoanIsGood,IF(ROW()-ROW(PaymentSchedule[[#Headers],[PMT NO]])&gt;ScheduledNumberOfPayments,"",ROW()-ROW(PaymentSchedule[[#Headers],[PMT NO]])),"")</f>
        <v>35</v>
      </c>
      <c r="C46" s="176">
        <f>IF(PaymentSchedule[[#This Row],[PMT NO]]&lt;&gt;"",EOMONTH(LoanStartDate,ROW(PaymentSchedule[[#This Row],[PMT NO]])-ROW(PaymentSchedule[[#Headers],[PMT NO]])-2)+DAY(LoanStartDate),"")</f>
        <v>46054</v>
      </c>
      <c r="D46" s="177">
        <f>IF(PaymentSchedule[[#This Row],[PMT NO]]&lt;&gt;"",IF(ROW()-ROW(PaymentSchedule[[#Headers],[BEGINNING BALANCE]])=1,LoanAmount,INDEX(PaymentSchedule[ENDING BALANCE],ROW()-ROW(PaymentSchedule[[#Headers],[BEGINNING BALANCE]])-1)),"")</f>
        <v>239052.43283999184</v>
      </c>
      <c r="E46" s="177">
        <f>IF(PaymentSchedule[[#This Row],[PMT NO]]&lt;&gt;"",ScheduledPayment,"")</f>
        <v>1342.0540575303476</v>
      </c>
      <c r="F4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6" s="177">
        <f>IF(PaymentSchedule[[#This Row],[PMT NO]]&lt;&gt;"",PaymentSchedule[[#This Row],[TOTAL PAYMENT]]-PaymentSchedule[[#This Row],[INTEREST]],"")</f>
        <v>346.00225403038155</v>
      </c>
      <c r="I46" s="177">
        <f>IF(PaymentSchedule[[#This Row],[PMT NO]]&lt;&gt;"",PaymentSchedule[[#This Row],[BEGINNING BALANCE]]*(InterestRate/PaymentsPerYear),"")</f>
        <v>996.05180349996601</v>
      </c>
      <c r="J4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238706.43058596147</v>
      </c>
      <c r="K46" s="177">
        <f>IF(PaymentSchedule[[#This Row],[PMT NO]]&lt;&gt;"",SUM(INDEX(PaymentSchedule[INTEREST],1,1):PaymentSchedule[[#This Row],[INTEREST]]),"")</f>
        <v>35678.322599523686</v>
      </c>
      <c r="L46" s="178"/>
    </row>
    <row r="47" spans="2:12" x14ac:dyDescent="0.2">
      <c r="B47" s="175">
        <f>IF(LoanIsGood,IF(ROW()-ROW(PaymentSchedule[[#Headers],[PMT NO]])&gt;ScheduledNumberOfPayments,"",ROW()-ROW(PaymentSchedule[[#Headers],[PMT NO]])),"")</f>
        <v>36</v>
      </c>
      <c r="C47" s="176">
        <f>IF(PaymentSchedule[[#This Row],[PMT NO]]&lt;&gt;"",EOMONTH(LoanStartDate,ROW(PaymentSchedule[[#This Row],[PMT NO]])-ROW(PaymentSchedule[[#Headers],[PMT NO]])-2)+DAY(LoanStartDate),"")</f>
        <v>46082</v>
      </c>
      <c r="D47" s="177">
        <f>IF(PaymentSchedule[[#This Row],[PMT NO]]&lt;&gt;"",IF(ROW()-ROW(PaymentSchedule[[#Headers],[BEGINNING BALANCE]])=1,LoanAmount,INDEX(PaymentSchedule[ENDING BALANCE],ROW()-ROW(PaymentSchedule[[#Headers],[BEGINNING BALANCE]])-1)),"")</f>
        <v>238706.43058596147</v>
      </c>
      <c r="E47" s="177">
        <f>IF(PaymentSchedule[[#This Row],[PMT NO]]&lt;&gt;"",ScheduledPayment,"")</f>
        <v>1342.0540575303476</v>
      </c>
      <c r="F4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7" s="177">
        <f>IF(PaymentSchedule[[#This Row],[PMT NO]]&lt;&gt;"",PaymentSchedule[[#This Row],[TOTAL PAYMENT]]-PaymentSchedule[[#This Row],[INTEREST]],"")</f>
        <v>347.44393008884151</v>
      </c>
      <c r="I47" s="177">
        <f>IF(PaymentSchedule[[#This Row],[PMT NO]]&lt;&gt;"",PaymentSchedule[[#This Row],[BEGINNING BALANCE]]*(InterestRate/PaymentsPerYear),"")</f>
        <v>994.61012744150605</v>
      </c>
      <c r="J4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238358.98665587264</v>
      </c>
      <c r="K47" s="177">
        <f>IF(PaymentSchedule[[#This Row],[PMT NO]]&lt;&gt;"",SUM(INDEX(PaymentSchedule[INTEREST],1,1):PaymentSchedule[[#This Row],[INTEREST]]),"")</f>
        <v>36672.932726965191</v>
      </c>
      <c r="L47" s="178"/>
    </row>
    <row r="48" spans="2:12" x14ac:dyDescent="0.2">
      <c r="B48" s="175">
        <f>IF(LoanIsGood,IF(ROW()-ROW(PaymentSchedule[[#Headers],[PMT NO]])&gt;ScheduledNumberOfPayments,"",ROW()-ROW(PaymentSchedule[[#Headers],[PMT NO]])),"")</f>
        <v>37</v>
      </c>
      <c r="C48" s="176">
        <f>IF(PaymentSchedule[[#This Row],[PMT NO]]&lt;&gt;"",EOMONTH(LoanStartDate,ROW(PaymentSchedule[[#This Row],[PMT NO]])-ROW(PaymentSchedule[[#Headers],[PMT NO]])-2)+DAY(LoanStartDate),"")</f>
        <v>46113</v>
      </c>
      <c r="D48" s="177">
        <f>IF(PaymentSchedule[[#This Row],[PMT NO]]&lt;&gt;"",IF(ROW()-ROW(PaymentSchedule[[#Headers],[BEGINNING BALANCE]])=1,LoanAmount,INDEX(PaymentSchedule[ENDING BALANCE],ROW()-ROW(PaymentSchedule[[#Headers],[BEGINNING BALANCE]])-1)),"")</f>
        <v>238358.98665587264</v>
      </c>
      <c r="E48" s="177">
        <f>IF(PaymentSchedule[[#This Row],[PMT NO]]&lt;&gt;"",ScheduledPayment,"")</f>
        <v>1342.0540575303476</v>
      </c>
      <c r="F4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8" s="177">
        <f>IF(PaymentSchedule[[#This Row],[PMT NO]]&lt;&gt;"",PaymentSchedule[[#This Row],[TOTAL PAYMENT]]-PaymentSchedule[[#This Row],[INTEREST]],"")</f>
        <v>348.89161313087823</v>
      </c>
      <c r="I48" s="177">
        <f>IF(PaymentSchedule[[#This Row],[PMT NO]]&lt;&gt;"",PaymentSchedule[[#This Row],[BEGINNING BALANCE]]*(InterestRate/PaymentsPerYear),"")</f>
        <v>993.16244439946934</v>
      </c>
      <c r="J4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238010.09504274177</v>
      </c>
      <c r="K48" s="177">
        <f>IF(PaymentSchedule[[#This Row],[PMT NO]]&lt;&gt;"",SUM(INDEX(PaymentSchedule[INTEREST],1,1):PaymentSchedule[[#This Row],[INTEREST]]),"")</f>
        <v>37666.095171364657</v>
      </c>
      <c r="L48" s="178"/>
    </row>
    <row r="49" spans="2:12" x14ac:dyDescent="0.2">
      <c r="B49" s="175">
        <f>IF(LoanIsGood,IF(ROW()-ROW(PaymentSchedule[[#Headers],[PMT NO]])&gt;ScheduledNumberOfPayments,"",ROW()-ROW(PaymentSchedule[[#Headers],[PMT NO]])),"")</f>
        <v>38</v>
      </c>
      <c r="C49" s="176">
        <f>IF(PaymentSchedule[[#This Row],[PMT NO]]&lt;&gt;"",EOMONTH(LoanStartDate,ROW(PaymentSchedule[[#This Row],[PMT NO]])-ROW(PaymentSchedule[[#Headers],[PMT NO]])-2)+DAY(LoanStartDate),"")</f>
        <v>46143</v>
      </c>
      <c r="D49" s="177">
        <f>IF(PaymentSchedule[[#This Row],[PMT NO]]&lt;&gt;"",IF(ROW()-ROW(PaymentSchedule[[#Headers],[BEGINNING BALANCE]])=1,LoanAmount,INDEX(PaymentSchedule[ENDING BALANCE],ROW()-ROW(PaymentSchedule[[#Headers],[BEGINNING BALANCE]])-1)),"")</f>
        <v>238010.09504274177</v>
      </c>
      <c r="E49" s="177">
        <f>IF(PaymentSchedule[[#This Row],[PMT NO]]&lt;&gt;"",ScheduledPayment,"")</f>
        <v>1342.0540575303476</v>
      </c>
      <c r="F4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49" s="177">
        <f>IF(PaymentSchedule[[#This Row],[PMT NO]]&lt;&gt;"",PaymentSchedule[[#This Row],[TOTAL PAYMENT]]-PaymentSchedule[[#This Row],[INTEREST]],"")</f>
        <v>350.34532818559023</v>
      </c>
      <c r="I49" s="177">
        <f>IF(PaymentSchedule[[#This Row],[PMT NO]]&lt;&gt;"",PaymentSchedule[[#This Row],[BEGINNING BALANCE]]*(InterestRate/PaymentsPerYear),"")</f>
        <v>991.70872934475733</v>
      </c>
      <c r="J4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237659.74971455618</v>
      </c>
      <c r="K49" s="177">
        <f>IF(PaymentSchedule[[#This Row],[PMT NO]]&lt;&gt;"",SUM(INDEX(PaymentSchedule[INTEREST],1,1):PaymentSchedule[[#This Row],[INTEREST]]),"")</f>
        <v>38657.803900709412</v>
      </c>
      <c r="L49" s="178"/>
    </row>
    <row r="50" spans="2:12" x14ac:dyDescent="0.2">
      <c r="B50" s="175">
        <f>IF(LoanIsGood,IF(ROW()-ROW(PaymentSchedule[[#Headers],[PMT NO]])&gt;ScheduledNumberOfPayments,"",ROW()-ROW(PaymentSchedule[[#Headers],[PMT NO]])),"")</f>
        <v>39</v>
      </c>
      <c r="C50" s="176">
        <f>IF(PaymentSchedule[[#This Row],[PMT NO]]&lt;&gt;"",EOMONTH(LoanStartDate,ROW(PaymentSchedule[[#This Row],[PMT NO]])-ROW(PaymentSchedule[[#Headers],[PMT NO]])-2)+DAY(LoanStartDate),"")</f>
        <v>46174</v>
      </c>
      <c r="D50" s="177">
        <f>IF(PaymentSchedule[[#This Row],[PMT NO]]&lt;&gt;"",IF(ROW()-ROW(PaymentSchedule[[#Headers],[BEGINNING BALANCE]])=1,LoanAmount,INDEX(PaymentSchedule[ENDING BALANCE],ROW()-ROW(PaymentSchedule[[#Headers],[BEGINNING BALANCE]])-1)),"")</f>
        <v>237659.74971455618</v>
      </c>
      <c r="E50" s="177">
        <f>IF(PaymentSchedule[[#This Row],[PMT NO]]&lt;&gt;"",ScheduledPayment,"")</f>
        <v>1342.0540575303476</v>
      </c>
      <c r="F5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0" s="177">
        <f>IF(PaymentSchedule[[#This Row],[PMT NO]]&lt;&gt;"",PaymentSchedule[[#This Row],[TOTAL PAYMENT]]-PaymentSchedule[[#This Row],[INTEREST]],"")</f>
        <v>351.80510038636351</v>
      </c>
      <c r="I50" s="177">
        <f>IF(PaymentSchedule[[#This Row],[PMT NO]]&lt;&gt;"",PaymentSchedule[[#This Row],[BEGINNING BALANCE]]*(InterestRate/PaymentsPerYear),"")</f>
        <v>990.24895714398406</v>
      </c>
      <c r="J5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237307.94461416983</v>
      </c>
      <c r="K50" s="177">
        <f>IF(PaymentSchedule[[#This Row],[PMT NO]]&lt;&gt;"",SUM(INDEX(PaymentSchedule[INTEREST],1,1):PaymentSchedule[[#This Row],[INTEREST]]),"")</f>
        <v>39648.052857853399</v>
      </c>
      <c r="L50" s="178"/>
    </row>
    <row r="51" spans="2:12" x14ac:dyDescent="0.2">
      <c r="B51" s="175">
        <f>IF(LoanIsGood,IF(ROW()-ROW(PaymentSchedule[[#Headers],[PMT NO]])&gt;ScheduledNumberOfPayments,"",ROW()-ROW(PaymentSchedule[[#Headers],[PMT NO]])),"")</f>
        <v>40</v>
      </c>
      <c r="C51" s="176">
        <f>IF(PaymentSchedule[[#This Row],[PMT NO]]&lt;&gt;"",EOMONTH(LoanStartDate,ROW(PaymentSchedule[[#This Row],[PMT NO]])-ROW(PaymentSchedule[[#Headers],[PMT NO]])-2)+DAY(LoanStartDate),"")</f>
        <v>46204</v>
      </c>
      <c r="D51" s="177">
        <f>IF(PaymentSchedule[[#This Row],[PMT NO]]&lt;&gt;"",IF(ROW()-ROW(PaymentSchedule[[#Headers],[BEGINNING BALANCE]])=1,LoanAmount,INDEX(PaymentSchedule[ENDING BALANCE],ROW()-ROW(PaymentSchedule[[#Headers],[BEGINNING BALANCE]])-1)),"")</f>
        <v>237307.94461416983</v>
      </c>
      <c r="E51" s="177">
        <f>IF(PaymentSchedule[[#This Row],[PMT NO]]&lt;&gt;"",ScheduledPayment,"")</f>
        <v>1342.0540575303476</v>
      </c>
      <c r="F5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1" s="177">
        <f>IF(PaymentSchedule[[#This Row],[PMT NO]]&lt;&gt;"",PaymentSchedule[[#This Row],[TOTAL PAYMENT]]-PaymentSchedule[[#This Row],[INTEREST]],"")</f>
        <v>353.27095497130665</v>
      </c>
      <c r="I51" s="177">
        <f>IF(PaymentSchedule[[#This Row],[PMT NO]]&lt;&gt;"",PaymentSchedule[[#This Row],[BEGINNING BALANCE]]*(InterestRate/PaymentsPerYear),"")</f>
        <v>988.78310255904091</v>
      </c>
      <c r="J5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236954.67365919851</v>
      </c>
      <c r="K51" s="177">
        <f>IF(PaymentSchedule[[#This Row],[PMT NO]]&lt;&gt;"",SUM(INDEX(PaymentSchedule[INTEREST],1,1):PaymentSchedule[[#This Row],[INTEREST]]),"")</f>
        <v>40636.835960412442</v>
      </c>
      <c r="L51" s="178"/>
    </row>
    <row r="52" spans="2:12" x14ac:dyDescent="0.2">
      <c r="B52" s="175">
        <f>IF(LoanIsGood,IF(ROW()-ROW(PaymentSchedule[[#Headers],[PMT NO]])&gt;ScheduledNumberOfPayments,"",ROW()-ROW(PaymentSchedule[[#Headers],[PMT NO]])),"")</f>
        <v>41</v>
      </c>
      <c r="C52" s="176">
        <f>IF(PaymentSchedule[[#This Row],[PMT NO]]&lt;&gt;"",EOMONTH(LoanStartDate,ROW(PaymentSchedule[[#This Row],[PMT NO]])-ROW(PaymentSchedule[[#Headers],[PMT NO]])-2)+DAY(LoanStartDate),"")</f>
        <v>46235</v>
      </c>
      <c r="D52" s="177">
        <f>IF(PaymentSchedule[[#This Row],[PMT NO]]&lt;&gt;"",IF(ROW()-ROW(PaymentSchedule[[#Headers],[BEGINNING BALANCE]])=1,LoanAmount,INDEX(PaymentSchedule[ENDING BALANCE],ROW()-ROW(PaymentSchedule[[#Headers],[BEGINNING BALANCE]])-1)),"")</f>
        <v>236954.67365919851</v>
      </c>
      <c r="E52" s="177">
        <f>IF(PaymentSchedule[[#This Row],[PMT NO]]&lt;&gt;"",ScheduledPayment,"")</f>
        <v>1342.0540575303476</v>
      </c>
      <c r="F5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2" s="177">
        <f>IF(PaymentSchedule[[#This Row],[PMT NO]]&lt;&gt;"",PaymentSchedule[[#This Row],[TOTAL PAYMENT]]-PaymentSchedule[[#This Row],[INTEREST]],"")</f>
        <v>354.74291728368712</v>
      </c>
      <c r="I52" s="177">
        <f>IF(PaymentSchedule[[#This Row],[PMT NO]]&lt;&gt;"",PaymentSchedule[[#This Row],[BEGINNING BALANCE]]*(InterestRate/PaymentsPerYear),"")</f>
        <v>987.31114024666044</v>
      </c>
      <c r="J5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236599.93074191481</v>
      </c>
      <c r="K52" s="177">
        <f>IF(PaymentSchedule[[#This Row],[PMT NO]]&lt;&gt;"",SUM(INDEX(PaymentSchedule[INTEREST],1,1):PaymentSchedule[[#This Row],[INTEREST]]),"")</f>
        <v>41624.147100659102</v>
      </c>
      <c r="L52" s="178"/>
    </row>
    <row r="53" spans="2:12" x14ac:dyDescent="0.2">
      <c r="B53" s="175">
        <f>IF(LoanIsGood,IF(ROW()-ROW(PaymentSchedule[[#Headers],[PMT NO]])&gt;ScheduledNumberOfPayments,"",ROW()-ROW(PaymentSchedule[[#Headers],[PMT NO]])),"")</f>
        <v>42</v>
      </c>
      <c r="C53" s="176">
        <f>IF(PaymentSchedule[[#This Row],[PMT NO]]&lt;&gt;"",EOMONTH(LoanStartDate,ROW(PaymentSchedule[[#This Row],[PMT NO]])-ROW(PaymentSchedule[[#Headers],[PMT NO]])-2)+DAY(LoanStartDate),"")</f>
        <v>46266</v>
      </c>
      <c r="D53" s="177">
        <f>IF(PaymentSchedule[[#This Row],[PMT NO]]&lt;&gt;"",IF(ROW()-ROW(PaymentSchedule[[#Headers],[BEGINNING BALANCE]])=1,LoanAmount,INDEX(PaymentSchedule[ENDING BALANCE],ROW()-ROW(PaymentSchedule[[#Headers],[BEGINNING BALANCE]])-1)),"")</f>
        <v>236599.93074191481</v>
      </c>
      <c r="E53" s="177">
        <f>IF(PaymentSchedule[[#This Row],[PMT NO]]&lt;&gt;"",ScheduledPayment,"")</f>
        <v>1342.0540575303476</v>
      </c>
      <c r="F5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3" s="177">
        <f>IF(PaymentSchedule[[#This Row],[PMT NO]]&lt;&gt;"",PaymentSchedule[[#This Row],[TOTAL PAYMENT]]-PaymentSchedule[[#This Row],[INTEREST]],"")</f>
        <v>356.22101277236925</v>
      </c>
      <c r="I53" s="177">
        <f>IF(PaymentSchedule[[#This Row],[PMT NO]]&lt;&gt;"",PaymentSchedule[[#This Row],[BEGINNING BALANCE]]*(InterestRate/PaymentsPerYear),"")</f>
        <v>985.83304475797831</v>
      </c>
      <c r="J5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236243.70972914243</v>
      </c>
      <c r="K53" s="177">
        <f>IF(PaymentSchedule[[#This Row],[PMT NO]]&lt;&gt;"",SUM(INDEX(PaymentSchedule[INTEREST],1,1):PaymentSchedule[[#This Row],[INTEREST]]),"")</f>
        <v>42609.980145417081</v>
      </c>
      <c r="L53" s="178"/>
    </row>
    <row r="54" spans="2:12" x14ac:dyDescent="0.2">
      <c r="B54" s="175">
        <f>IF(LoanIsGood,IF(ROW()-ROW(PaymentSchedule[[#Headers],[PMT NO]])&gt;ScheduledNumberOfPayments,"",ROW()-ROW(PaymentSchedule[[#Headers],[PMT NO]])),"")</f>
        <v>43</v>
      </c>
      <c r="C54" s="176">
        <f>IF(PaymentSchedule[[#This Row],[PMT NO]]&lt;&gt;"",EOMONTH(LoanStartDate,ROW(PaymentSchedule[[#This Row],[PMT NO]])-ROW(PaymentSchedule[[#Headers],[PMT NO]])-2)+DAY(LoanStartDate),"")</f>
        <v>46296</v>
      </c>
      <c r="D54" s="177">
        <f>IF(PaymentSchedule[[#This Row],[PMT NO]]&lt;&gt;"",IF(ROW()-ROW(PaymentSchedule[[#Headers],[BEGINNING BALANCE]])=1,LoanAmount,INDEX(PaymentSchedule[ENDING BALANCE],ROW()-ROW(PaymentSchedule[[#Headers],[BEGINNING BALANCE]])-1)),"")</f>
        <v>236243.70972914243</v>
      </c>
      <c r="E54" s="177">
        <f>IF(PaymentSchedule[[#This Row],[PMT NO]]&lt;&gt;"",ScheduledPayment,"")</f>
        <v>1342.0540575303476</v>
      </c>
      <c r="F5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4" s="177">
        <f>IF(PaymentSchedule[[#This Row],[PMT NO]]&lt;&gt;"",PaymentSchedule[[#This Row],[TOTAL PAYMENT]]-PaymentSchedule[[#This Row],[INTEREST]],"")</f>
        <v>357.70526699225411</v>
      </c>
      <c r="I54" s="177">
        <f>IF(PaymentSchedule[[#This Row],[PMT NO]]&lt;&gt;"",PaymentSchedule[[#This Row],[BEGINNING BALANCE]]*(InterestRate/PaymentsPerYear),"")</f>
        <v>984.34879053809345</v>
      </c>
      <c r="J5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235886.00446215019</v>
      </c>
      <c r="K54" s="177">
        <f>IF(PaymentSchedule[[#This Row],[PMT NO]]&lt;&gt;"",SUM(INDEX(PaymentSchedule[INTEREST],1,1):PaymentSchedule[[#This Row],[INTEREST]]),"")</f>
        <v>43594.328935955171</v>
      </c>
      <c r="L54" s="178"/>
    </row>
    <row r="55" spans="2:12" x14ac:dyDescent="0.2">
      <c r="B55" s="175">
        <f>IF(LoanIsGood,IF(ROW()-ROW(PaymentSchedule[[#Headers],[PMT NO]])&gt;ScheduledNumberOfPayments,"",ROW()-ROW(PaymentSchedule[[#Headers],[PMT NO]])),"")</f>
        <v>44</v>
      </c>
      <c r="C55" s="176">
        <f>IF(PaymentSchedule[[#This Row],[PMT NO]]&lt;&gt;"",EOMONTH(LoanStartDate,ROW(PaymentSchedule[[#This Row],[PMT NO]])-ROW(PaymentSchedule[[#Headers],[PMT NO]])-2)+DAY(LoanStartDate),"")</f>
        <v>46327</v>
      </c>
      <c r="D55" s="177">
        <f>IF(PaymentSchedule[[#This Row],[PMT NO]]&lt;&gt;"",IF(ROW()-ROW(PaymentSchedule[[#Headers],[BEGINNING BALANCE]])=1,LoanAmount,INDEX(PaymentSchedule[ENDING BALANCE],ROW()-ROW(PaymentSchedule[[#Headers],[BEGINNING BALANCE]])-1)),"")</f>
        <v>235886.00446215019</v>
      </c>
      <c r="E55" s="177">
        <f>IF(PaymentSchedule[[#This Row],[PMT NO]]&lt;&gt;"",ScheduledPayment,"")</f>
        <v>1342.0540575303476</v>
      </c>
      <c r="F5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5" s="177">
        <f>IF(PaymentSchedule[[#This Row],[PMT NO]]&lt;&gt;"",PaymentSchedule[[#This Row],[TOTAL PAYMENT]]-PaymentSchedule[[#This Row],[INTEREST]],"")</f>
        <v>359.19570560472175</v>
      </c>
      <c r="I55" s="177">
        <f>IF(PaymentSchedule[[#This Row],[PMT NO]]&lt;&gt;"",PaymentSchedule[[#This Row],[BEGINNING BALANCE]]*(InterestRate/PaymentsPerYear),"")</f>
        <v>982.85835192562581</v>
      </c>
      <c r="J5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235526.80875654548</v>
      </c>
      <c r="K55" s="177">
        <f>IF(PaymentSchedule[[#This Row],[PMT NO]]&lt;&gt;"",SUM(INDEX(PaymentSchedule[INTEREST],1,1):PaymentSchedule[[#This Row],[INTEREST]]),"")</f>
        <v>44577.187287880799</v>
      </c>
      <c r="L55" s="178"/>
    </row>
    <row r="56" spans="2:12" x14ac:dyDescent="0.2">
      <c r="B56" s="175">
        <f>IF(LoanIsGood,IF(ROW()-ROW(PaymentSchedule[[#Headers],[PMT NO]])&gt;ScheduledNumberOfPayments,"",ROW()-ROW(PaymentSchedule[[#Headers],[PMT NO]])),"")</f>
        <v>45</v>
      </c>
      <c r="C56" s="176">
        <f>IF(PaymentSchedule[[#This Row],[PMT NO]]&lt;&gt;"",EOMONTH(LoanStartDate,ROW(PaymentSchedule[[#This Row],[PMT NO]])-ROW(PaymentSchedule[[#Headers],[PMT NO]])-2)+DAY(LoanStartDate),"")</f>
        <v>46357</v>
      </c>
      <c r="D56" s="177">
        <f>IF(PaymentSchedule[[#This Row],[PMT NO]]&lt;&gt;"",IF(ROW()-ROW(PaymentSchedule[[#Headers],[BEGINNING BALANCE]])=1,LoanAmount,INDEX(PaymentSchedule[ENDING BALANCE],ROW()-ROW(PaymentSchedule[[#Headers],[BEGINNING BALANCE]])-1)),"")</f>
        <v>235526.80875654548</v>
      </c>
      <c r="E56" s="177">
        <f>IF(PaymentSchedule[[#This Row],[PMT NO]]&lt;&gt;"",ScheduledPayment,"")</f>
        <v>1342.0540575303476</v>
      </c>
      <c r="F5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6" s="177">
        <f>IF(PaymentSchedule[[#This Row],[PMT NO]]&lt;&gt;"",PaymentSchedule[[#This Row],[TOTAL PAYMENT]]-PaymentSchedule[[#This Row],[INTEREST]],"")</f>
        <v>360.69235437807481</v>
      </c>
      <c r="I56" s="177">
        <f>IF(PaymentSchedule[[#This Row],[PMT NO]]&lt;&gt;"",PaymentSchedule[[#This Row],[BEGINNING BALANCE]]*(InterestRate/PaymentsPerYear),"")</f>
        <v>981.36170315227275</v>
      </c>
      <c r="J5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235166.11640216739</v>
      </c>
      <c r="K56" s="177">
        <f>IF(PaymentSchedule[[#This Row],[PMT NO]]&lt;&gt;"",SUM(INDEX(PaymentSchedule[INTEREST],1,1):PaymentSchedule[[#This Row],[INTEREST]]),"")</f>
        <v>45558.548991033073</v>
      </c>
      <c r="L56" s="178"/>
    </row>
    <row r="57" spans="2:12" x14ac:dyDescent="0.2">
      <c r="B57" s="175">
        <f>IF(LoanIsGood,IF(ROW()-ROW(PaymentSchedule[[#Headers],[PMT NO]])&gt;ScheduledNumberOfPayments,"",ROW()-ROW(PaymentSchedule[[#Headers],[PMT NO]])),"")</f>
        <v>46</v>
      </c>
      <c r="C57" s="176">
        <f>IF(PaymentSchedule[[#This Row],[PMT NO]]&lt;&gt;"",EOMONTH(LoanStartDate,ROW(PaymentSchedule[[#This Row],[PMT NO]])-ROW(PaymentSchedule[[#Headers],[PMT NO]])-2)+DAY(LoanStartDate),"")</f>
        <v>46388</v>
      </c>
      <c r="D57" s="177">
        <f>IF(PaymentSchedule[[#This Row],[PMT NO]]&lt;&gt;"",IF(ROW()-ROW(PaymentSchedule[[#Headers],[BEGINNING BALANCE]])=1,LoanAmount,INDEX(PaymentSchedule[ENDING BALANCE],ROW()-ROW(PaymentSchedule[[#Headers],[BEGINNING BALANCE]])-1)),"")</f>
        <v>235166.11640216739</v>
      </c>
      <c r="E57" s="177">
        <f>IF(PaymentSchedule[[#This Row],[PMT NO]]&lt;&gt;"",ScheduledPayment,"")</f>
        <v>1342.0540575303476</v>
      </c>
      <c r="F5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7" s="177">
        <f>IF(PaymentSchedule[[#This Row],[PMT NO]]&lt;&gt;"",PaymentSchedule[[#This Row],[TOTAL PAYMENT]]-PaymentSchedule[[#This Row],[INTEREST]],"")</f>
        <v>362.19523918798347</v>
      </c>
      <c r="I57" s="177">
        <f>IF(PaymentSchedule[[#This Row],[PMT NO]]&lt;&gt;"",PaymentSchedule[[#This Row],[BEGINNING BALANCE]]*(InterestRate/PaymentsPerYear),"")</f>
        <v>979.85881834236409</v>
      </c>
      <c r="J5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234803.92116297942</v>
      </c>
      <c r="K57" s="177">
        <f>IF(PaymentSchedule[[#This Row],[PMT NO]]&lt;&gt;"",SUM(INDEX(PaymentSchedule[INTEREST],1,1):PaymentSchedule[[#This Row],[INTEREST]]),"")</f>
        <v>46538.407809375436</v>
      </c>
      <c r="L57" s="178"/>
    </row>
    <row r="58" spans="2:12" x14ac:dyDescent="0.2">
      <c r="B58" s="175">
        <f>IF(LoanIsGood,IF(ROW()-ROW(PaymentSchedule[[#Headers],[PMT NO]])&gt;ScheduledNumberOfPayments,"",ROW()-ROW(PaymentSchedule[[#Headers],[PMT NO]])),"")</f>
        <v>47</v>
      </c>
      <c r="C58" s="176">
        <f>IF(PaymentSchedule[[#This Row],[PMT NO]]&lt;&gt;"",EOMONTH(LoanStartDate,ROW(PaymentSchedule[[#This Row],[PMT NO]])-ROW(PaymentSchedule[[#Headers],[PMT NO]])-2)+DAY(LoanStartDate),"")</f>
        <v>46419</v>
      </c>
      <c r="D58" s="177">
        <f>IF(PaymentSchedule[[#This Row],[PMT NO]]&lt;&gt;"",IF(ROW()-ROW(PaymentSchedule[[#Headers],[BEGINNING BALANCE]])=1,LoanAmount,INDEX(PaymentSchedule[ENDING BALANCE],ROW()-ROW(PaymentSchedule[[#Headers],[BEGINNING BALANCE]])-1)),"")</f>
        <v>234803.92116297942</v>
      </c>
      <c r="E58" s="177">
        <f>IF(PaymentSchedule[[#This Row],[PMT NO]]&lt;&gt;"",ScheduledPayment,"")</f>
        <v>1342.0540575303476</v>
      </c>
      <c r="F5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8" s="177">
        <f>IF(PaymentSchedule[[#This Row],[PMT NO]]&lt;&gt;"",PaymentSchedule[[#This Row],[TOTAL PAYMENT]]-PaymentSchedule[[#This Row],[INTEREST]],"")</f>
        <v>363.7043860179333</v>
      </c>
      <c r="I58" s="177">
        <f>IF(PaymentSchedule[[#This Row],[PMT NO]]&lt;&gt;"",PaymentSchedule[[#This Row],[BEGINNING BALANCE]]*(InterestRate/PaymentsPerYear),"")</f>
        <v>978.34967151241426</v>
      </c>
      <c r="J5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234440.21677696149</v>
      </c>
      <c r="K58" s="177">
        <f>IF(PaymentSchedule[[#This Row],[PMT NO]]&lt;&gt;"",SUM(INDEX(PaymentSchedule[INTEREST],1,1):PaymentSchedule[[#This Row],[INTEREST]]),"")</f>
        <v>47516.757480887849</v>
      </c>
      <c r="L58" s="178"/>
    </row>
    <row r="59" spans="2:12" x14ac:dyDescent="0.2">
      <c r="B59" s="175">
        <f>IF(LoanIsGood,IF(ROW()-ROW(PaymentSchedule[[#Headers],[PMT NO]])&gt;ScheduledNumberOfPayments,"",ROW()-ROW(PaymentSchedule[[#Headers],[PMT NO]])),"")</f>
        <v>48</v>
      </c>
      <c r="C59" s="176">
        <f>IF(PaymentSchedule[[#This Row],[PMT NO]]&lt;&gt;"",EOMONTH(LoanStartDate,ROW(PaymentSchedule[[#This Row],[PMT NO]])-ROW(PaymentSchedule[[#Headers],[PMT NO]])-2)+DAY(LoanStartDate),"")</f>
        <v>46447</v>
      </c>
      <c r="D59" s="177">
        <f>IF(PaymentSchedule[[#This Row],[PMT NO]]&lt;&gt;"",IF(ROW()-ROW(PaymentSchedule[[#Headers],[BEGINNING BALANCE]])=1,LoanAmount,INDEX(PaymentSchedule[ENDING BALANCE],ROW()-ROW(PaymentSchedule[[#Headers],[BEGINNING BALANCE]])-1)),"")</f>
        <v>234440.21677696149</v>
      </c>
      <c r="E59" s="177">
        <f>IF(PaymentSchedule[[#This Row],[PMT NO]]&lt;&gt;"",ScheduledPayment,"")</f>
        <v>1342.0540575303476</v>
      </c>
      <c r="F5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59" s="177">
        <f>IF(PaymentSchedule[[#This Row],[PMT NO]]&lt;&gt;"",PaymentSchedule[[#This Row],[TOTAL PAYMENT]]-PaymentSchedule[[#This Row],[INTEREST]],"")</f>
        <v>365.21982095967473</v>
      </c>
      <c r="I59" s="177">
        <f>IF(PaymentSchedule[[#This Row],[PMT NO]]&lt;&gt;"",PaymentSchedule[[#This Row],[BEGINNING BALANCE]]*(InterestRate/PaymentsPerYear),"")</f>
        <v>976.83423657067283</v>
      </c>
      <c r="J5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234074.99695600182</v>
      </c>
      <c r="K59" s="177">
        <f>IF(PaymentSchedule[[#This Row],[PMT NO]]&lt;&gt;"",SUM(INDEX(PaymentSchedule[INTEREST],1,1):PaymentSchedule[[#This Row],[INTEREST]]),"")</f>
        <v>48493.591717458519</v>
      </c>
      <c r="L59" s="178"/>
    </row>
    <row r="60" spans="2:12" x14ac:dyDescent="0.2">
      <c r="B60" s="175">
        <f>IF(LoanIsGood,IF(ROW()-ROW(PaymentSchedule[[#Headers],[PMT NO]])&gt;ScheduledNumberOfPayments,"",ROW()-ROW(PaymentSchedule[[#Headers],[PMT NO]])),"")</f>
        <v>49</v>
      </c>
      <c r="C60" s="176">
        <f>IF(PaymentSchedule[[#This Row],[PMT NO]]&lt;&gt;"",EOMONTH(LoanStartDate,ROW(PaymentSchedule[[#This Row],[PMT NO]])-ROW(PaymentSchedule[[#Headers],[PMT NO]])-2)+DAY(LoanStartDate),"")</f>
        <v>46478</v>
      </c>
      <c r="D60" s="177">
        <f>IF(PaymentSchedule[[#This Row],[PMT NO]]&lt;&gt;"",IF(ROW()-ROW(PaymentSchedule[[#Headers],[BEGINNING BALANCE]])=1,LoanAmount,INDEX(PaymentSchedule[ENDING BALANCE],ROW()-ROW(PaymentSchedule[[#Headers],[BEGINNING BALANCE]])-1)),"")</f>
        <v>234074.99695600182</v>
      </c>
      <c r="E60" s="177">
        <f>IF(PaymentSchedule[[#This Row],[PMT NO]]&lt;&gt;"",ScheduledPayment,"")</f>
        <v>1342.0540575303476</v>
      </c>
      <c r="F6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0" s="177">
        <f>IF(PaymentSchedule[[#This Row],[PMT NO]]&lt;&gt;"",PaymentSchedule[[#This Row],[TOTAL PAYMENT]]-PaymentSchedule[[#This Row],[INTEREST]],"")</f>
        <v>366.7415702136733</v>
      </c>
      <c r="I60" s="177">
        <f>IF(PaymentSchedule[[#This Row],[PMT NO]]&lt;&gt;"",PaymentSchedule[[#This Row],[BEGINNING BALANCE]]*(InterestRate/PaymentsPerYear),"")</f>
        <v>975.31248731667426</v>
      </c>
      <c r="J6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233708.25538578816</v>
      </c>
      <c r="K60" s="177">
        <f>IF(PaymentSchedule[[#This Row],[PMT NO]]&lt;&gt;"",SUM(INDEX(PaymentSchedule[INTEREST],1,1):PaymentSchedule[[#This Row],[INTEREST]]),"")</f>
        <v>49468.904204775194</v>
      </c>
      <c r="L60" s="178"/>
    </row>
    <row r="61" spans="2:12" x14ac:dyDescent="0.2">
      <c r="B61" s="175">
        <f>IF(LoanIsGood,IF(ROW()-ROW(PaymentSchedule[[#Headers],[PMT NO]])&gt;ScheduledNumberOfPayments,"",ROW()-ROW(PaymentSchedule[[#Headers],[PMT NO]])),"")</f>
        <v>50</v>
      </c>
      <c r="C61" s="176">
        <f>IF(PaymentSchedule[[#This Row],[PMT NO]]&lt;&gt;"",EOMONTH(LoanStartDate,ROW(PaymentSchedule[[#This Row],[PMT NO]])-ROW(PaymentSchedule[[#Headers],[PMT NO]])-2)+DAY(LoanStartDate),"")</f>
        <v>46508</v>
      </c>
      <c r="D61" s="177">
        <f>IF(PaymentSchedule[[#This Row],[PMT NO]]&lt;&gt;"",IF(ROW()-ROW(PaymentSchedule[[#Headers],[BEGINNING BALANCE]])=1,LoanAmount,INDEX(PaymentSchedule[ENDING BALANCE],ROW()-ROW(PaymentSchedule[[#Headers],[BEGINNING BALANCE]])-1)),"")</f>
        <v>233708.25538578816</v>
      </c>
      <c r="E61" s="177">
        <f>IF(PaymentSchedule[[#This Row],[PMT NO]]&lt;&gt;"",ScheduledPayment,"")</f>
        <v>1342.0540575303476</v>
      </c>
      <c r="F6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1" s="177">
        <f>IF(PaymentSchedule[[#This Row],[PMT NO]]&lt;&gt;"",PaymentSchedule[[#This Row],[TOTAL PAYMENT]]-PaymentSchedule[[#This Row],[INTEREST]],"")</f>
        <v>368.26966008956356</v>
      </c>
      <c r="I61" s="177">
        <f>IF(PaymentSchedule[[#This Row],[PMT NO]]&lt;&gt;"",PaymentSchedule[[#This Row],[BEGINNING BALANCE]]*(InterestRate/PaymentsPerYear),"")</f>
        <v>973.78439744078401</v>
      </c>
      <c r="J6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233339.98572569859</v>
      </c>
      <c r="K61" s="177">
        <f>IF(PaymentSchedule[[#This Row],[PMT NO]]&lt;&gt;"",SUM(INDEX(PaymentSchedule[INTEREST],1,1):PaymentSchedule[[#This Row],[INTEREST]]),"")</f>
        <v>50442.688602215974</v>
      </c>
      <c r="L61" s="178"/>
    </row>
    <row r="62" spans="2:12" x14ac:dyDescent="0.2">
      <c r="B62" s="175">
        <f>IF(LoanIsGood,IF(ROW()-ROW(PaymentSchedule[[#Headers],[PMT NO]])&gt;ScheduledNumberOfPayments,"",ROW()-ROW(PaymentSchedule[[#Headers],[PMT NO]])),"")</f>
        <v>51</v>
      </c>
      <c r="C62" s="176">
        <f>IF(PaymentSchedule[[#This Row],[PMT NO]]&lt;&gt;"",EOMONTH(LoanStartDate,ROW(PaymentSchedule[[#This Row],[PMT NO]])-ROW(PaymentSchedule[[#Headers],[PMT NO]])-2)+DAY(LoanStartDate),"")</f>
        <v>46539</v>
      </c>
      <c r="D62" s="177">
        <f>IF(PaymentSchedule[[#This Row],[PMT NO]]&lt;&gt;"",IF(ROW()-ROW(PaymentSchedule[[#Headers],[BEGINNING BALANCE]])=1,LoanAmount,INDEX(PaymentSchedule[ENDING BALANCE],ROW()-ROW(PaymentSchedule[[#Headers],[BEGINNING BALANCE]])-1)),"")</f>
        <v>233339.98572569859</v>
      </c>
      <c r="E62" s="177">
        <f>IF(PaymentSchedule[[#This Row],[PMT NO]]&lt;&gt;"",ScheduledPayment,"")</f>
        <v>1342.0540575303476</v>
      </c>
      <c r="F6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2" s="177">
        <f>IF(PaymentSchedule[[#This Row],[PMT NO]]&lt;&gt;"",PaymentSchedule[[#This Row],[TOTAL PAYMENT]]-PaymentSchedule[[#This Row],[INTEREST]],"")</f>
        <v>369.80411700660352</v>
      </c>
      <c r="I62" s="177">
        <f>IF(PaymentSchedule[[#This Row],[PMT NO]]&lt;&gt;"",PaymentSchedule[[#This Row],[BEGINNING BALANCE]]*(InterestRate/PaymentsPerYear),"")</f>
        <v>972.24994052374404</v>
      </c>
      <c r="J6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232970.18160869199</v>
      </c>
      <c r="K62" s="177">
        <f>IF(PaymentSchedule[[#This Row],[PMT NO]]&lt;&gt;"",SUM(INDEX(PaymentSchedule[INTEREST],1,1):PaymentSchedule[[#This Row],[INTEREST]]),"")</f>
        <v>51414.938542739721</v>
      </c>
      <c r="L62" s="178"/>
    </row>
    <row r="63" spans="2:12" x14ac:dyDescent="0.2">
      <c r="B63" s="175">
        <f>IF(LoanIsGood,IF(ROW()-ROW(PaymentSchedule[[#Headers],[PMT NO]])&gt;ScheduledNumberOfPayments,"",ROW()-ROW(PaymentSchedule[[#Headers],[PMT NO]])),"")</f>
        <v>52</v>
      </c>
      <c r="C63" s="176">
        <f>IF(PaymentSchedule[[#This Row],[PMT NO]]&lt;&gt;"",EOMONTH(LoanStartDate,ROW(PaymentSchedule[[#This Row],[PMT NO]])-ROW(PaymentSchedule[[#Headers],[PMT NO]])-2)+DAY(LoanStartDate),"")</f>
        <v>46569</v>
      </c>
      <c r="D63" s="177">
        <f>IF(PaymentSchedule[[#This Row],[PMT NO]]&lt;&gt;"",IF(ROW()-ROW(PaymentSchedule[[#Headers],[BEGINNING BALANCE]])=1,LoanAmount,INDEX(PaymentSchedule[ENDING BALANCE],ROW()-ROW(PaymentSchedule[[#Headers],[BEGINNING BALANCE]])-1)),"")</f>
        <v>232970.18160869199</v>
      </c>
      <c r="E63" s="177">
        <f>IF(PaymentSchedule[[#This Row],[PMT NO]]&lt;&gt;"",ScheduledPayment,"")</f>
        <v>1342.0540575303476</v>
      </c>
      <c r="F6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3" s="177">
        <f>IF(PaymentSchedule[[#This Row],[PMT NO]]&lt;&gt;"",PaymentSchedule[[#This Row],[TOTAL PAYMENT]]-PaymentSchedule[[#This Row],[INTEREST]],"")</f>
        <v>371.34496749413097</v>
      </c>
      <c r="I63" s="177">
        <f>IF(PaymentSchedule[[#This Row],[PMT NO]]&lt;&gt;"",PaymentSchedule[[#This Row],[BEGINNING BALANCE]]*(InterestRate/PaymentsPerYear),"")</f>
        <v>970.70909003621659</v>
      </c>
      <c r="J6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232598.83664119785</v>
      </c>
      <c r="K63" s="177">
        <f>IF(PaymentSchedule[[#This Row],[PMT NO]]&lt;&gt;"",SUM(INDEX(PaymentSchedule[INTEREST],1,1):PaymentSchedule[[#This Row],[INTEREST]]),"")</f>
        <v>52385.647632775937</v>
      </c>
      <c r="L63" s="178"/>
    </row>
    <row r="64" spans="2:12" x14ac:dyDescent="0.2">
      <c r="B64" s="175">
        <f>IF(LoanIsGood,IF(ROW()-ROW(PaymentSchedule[[#Headers],[PMT NO]])&gt;ScheduledNumberOfPayments,"",ROW()-ROW(PaymentSchedule[[#Headers],[PMT NO]])),"")</f>
        <v>53</v>
      </c>
      <c r="C64" s="176">
        <f>IF(PaymentSchedule[[#This Row],[PMT NO]]&lt;&gt;"",EOMONTH(LoanStartDate,ROW(PaymentSchedule[[#This Row],[PMT NO]])-ROW(PaymentSchedule[[#Headers],[PMT NO]])-2)+DAY(LoanStartDate),"")</f>
        <v>46600</v>
      </c>
      <c r="D64" s="177">
        <f>IF(PaymentSchedule[[#This Row],[PMT NO]]&lt;&gt;"",IF(ROW()-ROW(PaymentSchedule[[#Headers],[BEGINNING BALANCE]])=1,LoanAmount,INDEX(PaymentSchedule[ENDING BALANCE],ROW()-ROW(PaymentSchedule[[#Headers],[BEGINNING BALANCE]])-1)),"")</f>
        <v>232598.83664119785</v>
      </c>
      <c r="E64" s="177">
        <f>IF(PaymentSchedule[[#This Row],[PMT NO]]&lt;&gt;"",ScheduledPayment,"")</f>
        <v>1342.0540575303476</v>
      </c>
      <c r="F6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4" s="177">
        <f>IF(PaymentSchedule[[#This Row],[PMT NO]]&lt;&gt;"",PaymentSchedule[[#This Row],[TOTAL PAYMENT]]-PaymentSchedule[[#This Row],[INTEREST]],"")</f>
        <v>372.89223819202323</v>
      </c>
      <c r="I64" s="177">
        <f>IF(PaymentSchedule[[#This Row],[PMT NO]]&lt;&gt;"",PaymentSchedule[[#This Row],[BEGINNING BALANCE]]*(InterestRate/PaymentsPerYear),"")</f>
        <v>969.16181933832434</v>
      </c>
      <c r="J6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232225.94440300582</v>
      </c>
      <c r="K64" s="177">
        <f>IF(PaymentSchedule[[#This Row],[PMT NO]]&lt;&gt;"",SUM(INDEX(PaymentSchedule[INTEREST],1,1):PaymentSchedule[[#This Row],[INTEREST]]),"")</f>
        <v>53354.809452114263</v>
      </c>
      <c r="L64" s="178"/>
    </row>
    <row r="65" spans="2:12" x14ac:dyDescent="0.2">
      <c r="B65" s="175">
        <f>IF(LoanIsGood,IF(ROW()-ROW(PaymentSchedule[[#Headers],[PMT NO]])&gt;ScheduledNumberOfPayments,"",ROW()-ROW(PaymentSchedule[[#Headers],[PMT NO]])),"")</f>
        <v>54</v>
      </c>
      <c r="C65" s="176">
        <f>IF(PaymentSchedule[[#This Row],[PMT NO]]&lt;&gt;"",EOMONTH(LoanStartDate,ROW(PaymentSchedule[[#This Row],[PMT NO]])-ROW(PaymentSchedule[[#Headers],[PMT NO]])-2)+DAY(LoanStartDate),"")</f>
        <v>46631</v>
      </c>
      <c r="D65" s="177">
        <f>IF(PaymentSchedule[[#This Row],[PMT NO]]&lt;&gt;"",IF(ROW()-ROW(PaymentSchedule[[#Headers],[BEGINNING BALANCE]])=1,LoanAmount,INDEX(PaymentSchedule[ENDING BALANCE],ROW()-ROW(PaymentSchedule[[#Headers],[BEGINNING BALANCE]])-1)),"")</f>
        <v>232225.94440300582</v>
      </c>
      <c r="E65" s="177">
        <f>IF(PaymentSchedule[[#This Row],[PMT NO]]&lt;&gt;"",ScheduledPayment,"")</f>
        <v>1342.0540575303476</v>
      </c>
      <c r="F6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5" s="177">
        <f>IF(PaymentSchedule[[#This Row],[PMT NO]]&lt;&gt;"",PaymentSchedule[[#This Row],[TOTAL PAYMENT]]-PaymentSchedule[[#This Row],[INTEREST]],"")</f>
        <v>374.44595585115667</v>
      </c>
      <c r="I65" s="177">
        <f>IF(PaymentSchedule[[#This Row],[PMT NO]]&lt;&gt;"",PaymentSchedule[[#This Row],[BEGINNING BALANCE]]*(InterestRate/PaymentsPerYear),"")</f>
        <v>967.6081016791909</v>
      </c>
      <c r="J6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231851.49844715468</v>
      </c>
      <c r="K65" s="177">
        <f>IF(PaymentSchedule[[#This Row],[PMT NO]]&lt;&gt;"",SUM(INDEX(PaymentSchedule[INTEREST],1,1):PaymentSchedule[[#This Row],[INTEREST]]),"")</f>
        <v>54322.417553793457</v>
      </c>
      <c r="L65" s="178"/>
    </row>
    <row r="66" spans="2:12" x14ac:dyDescent="0.2">
      <c r="B66" s="175">
        <f>IF(LoanIsGood,IF(ROW()-ROW(PaymentSchedule[[#Headers],[PMT NO]])&gt;ScheduledNumberOfPayments,"",ROW()-ROW(PaymentSchedule[[#Headers],[PMT NO]])),"")</f>
        <v>55</v>
      </c>
      <c r="C66" s="176">
        <f>IF(PaymentSchedule[[#This Row],[PMT NO]]&lt;&gt;"",EOMONTH(LoanStartDate,ROW(PaymentSchedule[[#This Row],[PMT NO]])-ROW(PaymentSchedule[[#Headers],[PMT NO]])-2)+DAY(LoanStartDate),"")</f>
        <v>46661</v>
      </c>
      <c r="D66" s="177">
        <f>IF(PaymentSchedule[[#This Row],[PMT NO]]&lt;&gt;"",IF(ROW()-ROW(PaymentSchedule[[#Headers],[BEGINNING BALANCE]])=1,LoanAmount,INDEX(PaymentSchedule[ENDING BALANCE],ROW()-ROW(PaymentSchedule[[#Headers],[BEGINNING BALANCE]])-1)),"")</f>
        <v>231851.49844715468</v>
      </c>
      <c r="E66" s="177">
        <f>IF(PaymentSchedule[[#This Row],[PMT NO]]&lt;&gt;"",ScheduledPayment,"")</f>
        <v>1342.0540575303476</v>
      </c>
      <c r="F6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6" s="177">
        <f>IF(PaymentSchedule[[#This Row],[PMT NO]]&lt;&gt;"",PaymentSchedule[[#This Row],[TOTAL PAYMENT]]-PaymentSchedule[[#This Row],[INTEREST]],"")</f>
        <v>376.00614733386976</v>
      </c>
      <c r="I66" s="177">
        <f>IF(PaymentSchedule[[#This Row],[PMT NO]]&lt;&gt;"",PaymentSchedule[[#This Row],[BEGINNING BALANCE]]*(InterestRate/PaymentsPerYear),"")</f>
        <v>966.0479101964778</v>
      </c>
      <c r="J6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231475.49229982082</v>
      </c>
      <c r="K66" s="177">
        <f>IF(PaymentSchedule[[#This Row],[PMT NO]]&lt;&gt;"",SUM(INDEX(PaymentSchedule[INTEREST],1,1):PaymentSchedule[[#This Row],[INTEREST]]),"")</f>
        <v>55288.465463989938</v>
      </c>
      <c r="L66" s="178"/>
    </row>
    <row r="67" spans="2:12" x14ac:dyDescent="0.2">
      <c r="B67" s="175">
        <f>IF(LoanIsGood,IF(ROW()-ROW(PaymentSchedule[[#Headers],[PMT NO]])&gt;ScheduledNumberOfPayments,"",ROW()-ROW(PaymentSchedule[[#Headers],[PMT NO]])),"")</f>
        <v>56</v>
      </c>
      <c r="C67" s="176">
        <f>IF(PaymentSchedule[[#This Row],[PMT NO]]&lt;&gt;"",EOMONTH(LoanStartDate,ROW(PaymentSchedule[[#This Row],[PMT NO]])-ROW(PaymentSchedule[[#Headers],[PMT NO]])-2)+DAY(LoanStartDate),"")</f>
        <v>46692</v>
      </c>
      <c r="D67" s="177">
        <f>IF(PaymentSchedule[[#This Row],[PMT NO]]&lt;&gt;"",IF(ROW()-ROW(PaymentSchedule[[#Headers],[BEGINNING BALANCE]])=1,LoanAmount,INDEX(PaymentSchedule[ENDING BALANCE],ROW()-ROW(PaymentSchedule[[#Headers],[BEGINNING BALANCE]])-1)),"")</f>
        <v>231475.49229982082</v>
      </c>
      <c r="E67" s="177">
        <f>IF(PaymentSchedule[[#This Row],[PMT NO]]&lt;&gt;"",ScheduledPayment,"")</f>
        <v>1342.0540575303476</v>
      </c>
      <c r="F6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7" s="177">
        <f>IF(PaymentSchedule[[#This Row],[PMT NO]]&lt;&gt;"",PaymentSchedule[[#This Row],[TOTAL PAYMENT]]-PaymentSchedule[[#This Row],[INTEREST]],"")</f>
        <v>377.57283961442749</v>
      </c>
      <c r="I67" s="177">
        <f>IF(PaymentSchedule[[#This Row],[PMT NO]]&lt;&gt;"",PaymentSchedule[[#This Row],[BEGINNING BALANCE]]*(InterestRate/PaymentsPerYear),"")</f>
        <v>964.48121791592007</v>
      </c>
      <c r="J6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231097.91946020638</v>
      </c>
      <c r="K67" s="177">
        <f>IF(PaymentSchedule[[#This Row],[PMT NO]]&lt;&gt;"",SUM(INDEX(PaymentSchedule[INTEREST],1,1):PaymentSchedule[[#This Row],[INTEREST]]),"")</f>
        <v>56252.946681905858</v>
      </c>
      <c r="L67" s="178"/>
    </row>
    <row r="68" spans="2:12" x14ac:dyDescent="0.2">
      <c r="B68" s="175">
        <f>IF(LoanIsGood,IF(ROW()-ROW(PaymentSchedule[[#Headers],[PMT NO]])&gt;ScheduledNumberOfPayments,"",ROW()-ROW(PaymentSchedule[[#Headers],[PMT NO]])),"")</f>
        <v>57</v>
      </c>
      <c r="C68" s="176">
        <f>IF(PaymentSchedule[[#This Row],[PMT NO]]&lt;&gt;"",EOMONTH(LoanStartDate,ROW(PaymentSchedule[[#This Row],[PMT NO]])-ROW(PaymentSchedule[[#Headers],[PMT NO]])-2)+DAY(LoanStartDate),"")</f>
        <v>46722</v>
      </c>
      <c r="D68" s="177">
        <f>IF(PaymentSchedule[[#This Row],[PMT NO]]&lt;&gt;"",IF(ROW()-ROW(PaymentSchedule[[#Headers],[BEGINNING BALANCE]])=1,LoanAmount,INDEX(PaymentSchedule[ENDING BALANCE],ROW()-ROW(PaymentSchedule[[#Headers],[BEGINNING BALANCE]])-1)),"")</f>
        <v>231097.91946020638</v>
      </c>
      <c r="E68" s="177">
        <f>IF(PaymentSchedule[[#This Row],[PMT NO]]&lt;&gt;"",ScheduledPayment,"")</f>
        <v>1342.0540575303476</v>
      </c>
      <c r="F6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8" s="177">
        <f>IF(PaymentSchedule[[#This Row],[PMT NO]]&lt;&gt;"",PaymentSchedule[[#This Row],[TOTAL PAYMENT]]-PaymentSchedule[[#This Row],[INTEREST]],"")</f>
        <v>379.1460597794877</v>
      </c>
      <c r="I68" s="177">
        <f>IF(PaymentSchedule[[#This Row],[PMT NO]]&lt;&gt;"",PaymentSchedule[[#This Row],[BEGINNING BALANCE]]*(InterestRate/PaymentsPerYear),"")</f>
        <v>962.90799775085986</v>
      </c>
      <c r="J6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230718.7734004269</v>
      </c>
      <c r="K68" s="177">
        <f>IF(PaymentSchedule[[#This Row],[PMT NO]]&lt;&gt;"",SUM(INDEX(PaymentSchedule[INTEREST],1,1):PaymentSchedule[[#This Row],[INTEREST]]),"")</f>
        <v>57215.854679656717</v>
      </c>
      <c r="L68" s="178"/>
    </row>
    <row r="69" spans="2:12" x14ac:dyDescent="0.2">
      <c r="B69" s="175">
        <f>IF(LoanIsGood,IF(ROW()-ROW(PaymentSchedule[[#Headers],[PMT NO]])&gt;ScheduledNumberOfPayments,"",ROW()-ROW(PaymentSchedule[[#Headers],[PMT NO]])),"")</f>
        <v>58</v>
      </c>
      <c r="C69" s="176">
        <f>IF(PaymentSchedule[[#This Row],[PMT NO]]&lt;&gt;"",EOMONTH(LoanStartDate,ROW(PaymentSchedule[[#This Row],[PMT NO]])-ROW(PaymentSchedule[[#Headers],[PMT NO]])-2)+DAY(LoanStartDate),"")</f>
        <v>46753</v>
      </c>
      <c r="D69" s="177">
        <f>IF(PaymentSchedule[[#This Row],[PMT NO]]&lt;&gt;"",IF(ROW()-ROW(PaymentSchedule[[#Headers],[BEGINNING BALANCE]])=1,LoanAmount,INDEX(PaymentSchedule[ENDING BALANCE],ROW()-ROW(PaymentSchedule[[#Headers],[BEGINNING BALANCE]])-1)),"")</f>
        <v>230718.7734004269</v>
      </c>
      <c r="E69" s="177">
        <f>IF(PaymentSchedule[[#This Row],[PMT NO]]&lt;&gt;"",ScheduledPayment,"")</f>
        <v>1342.0540575303476</v>
      </c>
      <c r="F6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69" s="177">
        <f>IF(PaymentSchedule[[#This Row],[PMT NO]]&lt;&gt;"",PaymentSchedule[[#This Row],[TOTAL PAYMENT]]-PaymentSchedule[[#This Row],[INTEREST]],"")</f>
        <v>380.72583502856878</v>
      </c>
      <c r="I69" s="177">
        <f>IF(PaymentSchedule[[#This Row],[PMT NO]]&lt;&gt;"",PaymentSchedule[[#This Row],[BEGINNING BALANCE]]*(InterestRate/PaymentsPerYear),"")</f>
        <v>961.32822250177878</v>
      </c>
      <c r="J6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230338.04756539833</v>
      </c>
      <c r="K69" s="177">
        <f>IF(PaymentSchedule[[#This Row],[PMT NO]]&lt;&gt;"",SUM(INDEX(PaymentSchedule[INTEREST],1,1):PaymentSchedule[[#This Row],[INTEREST]]),"")</f>
        <v>58177.182902158493</v>
      </c>
      <c r="L69" s="178"/>
    </row>
    <row r="70" spans="2:12" x14ac:dyDescent="0.2">
      <c r="B70" s="175">
        <f>IF(LoanIsGood,IF(ROW()-ROW(PaymentSchedule[[#Headers],[PMT NO]])&gt;ScheduledNumberOfPayments,"",ROW()-ROW(PaymentSchedule[[#Headers],[PMT NO]])),"")</f>
        <v>59</v>
      </c>
      <c r="C70" s="176">
        <f>IF(PaymentSchedule[[#This Row],[PMT NO]]&lt;&gt;"",EOMONTH(LoanStartDate,ROW(PaymentSchedule[[#This Row],[PMT NO]])-ROW(PaymentSchedule[[#Headers],[PMT NO]])-2)+DAY(LoanStartDate),"")</f>
        <v>46784</v>
      </c>
      <c r="D70" s="177">
        <f>IF(PaymentSchedule[[#This Row],[PMT NO]]&lt;&gt;"",IF(ROW()-ROW(PaymentSchedule[[#Headers],[BEGINNING BALANCE]])=1,LoanAmount,INDEX(PaymentSchedule[ENDING BALANCE],ROW()-ROW(PaymentSchedule[[#Headers],[BEGINNING BALANCE]])-1)),"")</f>
        <v>230338.04756539833</v>
      </c>
      <c r="E70" s="177">
        <f>IF(PaymentSchedule[[#This Row],[PMT NO]]&lt;&gt;"",ScheduledPayment,"")</f>
        <v>1342.0540575303476</v>
      </c>
      <c r="F7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0" s="177">
        <f>IF(PaymentSchedule[[#This Row],[PMT NO]]&lt;&gt;"",PaymentSchedule[[#This Row],[TOTAL PAYMENT]]-PaymentSchedule[[#This Row],[INTEREST]],"")</f>
        <v>382.31219267452116</v>
      </c>
      <c r="I70" s="177">
        <f>IF(PaymentSchedule[[#This Row],[PMT NO]]&lt;&gt;"",PaymentSchedule[[#This Row],[BEGINNING BALANCE]]*(InterestRate/PaymentsPerYear),"")</f>
        <v>959.74186485582641</v>
      </c>
      <c r="J7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229955.73537272381</v>
      </c>
      <c r="K70" s="177">
        <f>IF(PaymentSchedule[[#This Row],[PMT NO]]&lt;&gt;"",SUM(INDEX(PaymentSchedule[INTEREST],1,1):PaymentSchedule[[#This Row],[INTEREST]]),"")</f>
        <v>59136.924767014316</v>
      </c>
      <c r="L70" s="178"/>
    </row>
    <row r="71" spans="2:12" x14ac:dyDescent="0.2">
      <c r="B71" s="175">
        <f>IF(LoanIsGood,IF(ROW()-ROW(PaymentSchedule[[#Headers],[PMT NO]])&gt;ScheduledNumberOfPayments,"",ROW()-ROW(PaymentSchedule[[#Headers],[PMT NO]])),"")</f>
        <v>60</v>
      </c>
      <c r="C71" s="176">
        <f>IF(PaymentSchedule[[#This Row],[PMT NO]]&lt;&gt;"",EOMONTH(LoanStartDate,ROW(PaymentSchedule[[#This Row],[PMT NO]])-ROW(PaymentSchedule[[#Headers],[PMT NO]])-2)+DAY(LoanStartDate),"")</f>
        <v>46813</v>
      </c>
      <c r="D71" s="177">
        <f>IF(PaymentSchedule[[#This Row],[PMT NO]]&lt;&gt;"",IF(ROW()-ROW(PaymentSchedule[[#Headers],[BEGINNING BALANCE]])=1,LoanAmount,INDEX(PaymentSchedule[ENDING BALANCE],ROW()-ROW(PaymentSchedule[[#Headers],[BEGINNING BALANCE]])-1)),"")</f>
        <v>229955.73537272381</v>
      </c>
      <c r="E71" s="177">
        <f>IF(PaymentSchedule[[#This Row],[PMT NO]]&lt;&gt;"",ScheduledPayment,"")</f>
        <v>1342.0540575303476</v>
      </c>
      <c r="F7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1" s="177">
        <f>IF(PaymentSchedule[[#This Row],[PMT NO]]&lt;&gt;"",PaymentSchedule[[#This Row],[TOTAL PAYMENT]]-PaymentSchedule[[#This Row],[INTEREST]],"")</f>
        <v>383.90516014399839</v>
      </c>
      <c r="I71" s="177">
        <f>IF(PaymentSchedule[[#This Row],[PMT NO]]&lt;&gt;"",PaymentSchedule[[#This Row],[BEGINNING BALANCE]]*(InterestRate/PaymentsPerYear),"")</f>
        <v>958.14889738634918</v>
      </c>
      <c r="J7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229571.83021257981</v>
      </c>
      <c r="K71" s="177">
        <f>IF(PaymentSchedule[[#This Row],[PMT NO]]&lt;&gt;"",SUM(INDEX(PaymentSchedule[INTEREST],1,1):PaymentSchedule[[#This Row],[INTEREST]]),"")</f>
        <v>60095.073664400668</v>
      </c>
      <c r="L71" s="178"/>
    </row>
    <row r="72" spans="2:12" x14ac:dyDescent="0.2">
      <c r="B72" s="175">
        <f>IF(LoanIsGood,IF(ROW()-ROW(PaymentSchedule[[#Headers],[PMT NO]])&gt;ScheduledNumberOfPayments,"",ROW()-ROW(PaymentSchedule[[#Headers],[PMT NO]])),"")</f>
        <v>61</v>
      </c>
      <c r="C72" s="176">
        <f>IF(PaymentSchedule[[#This Row],[PMT NO]]&lt;&gt;"",EOMONTH(LoanStartDate,ROW(PaymentSchedule[[#This Row],[PMT NO]])-ROW(PaymentSchedule[[#Headers],[PMT NO]])-2)+DAY(LoanStartDate),"")</f>
        <v>46844</v>
      </c>
      <c r="D72" s="177">
        <f>IF(PaymentSchedule[[#This Row],[PMT NO]]&lt;&gt;"",IF(ROW()-ROW(PaymentSchedule[[#Headers],[BEGINNING BALANCE]])=1,LoanAmount,INDEX(PaymentSchedule[ENDING BALANCE],ROW()-ROW(PaymentSchedule[[#Headers],[BEGINNING BALANCE]])-1)),"")</f>
        <v>229571.83021257981</v>
      </c>
      <c r="E72" s="177">
        <f>IF(PaymentSchedule[[#This Row],[PMT NO]]&lt;&gt;"",ScheduledPayment,"")</f>
        <v>1342.0540575303476</v>
      </c>
      <c r="F7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2" s="177">
        <f>IF(PaymentSchedule[[#This Row],[PMT NO]]&lt;&gt;"",PaymentSchedule[[#This Row],[TOTAL PAYMENT]]-PaymentSchedule[[#This Row],[INTEREST]],"")</f>
        <v>385.5047649779317</v>
      </c>
      <c r="I72" s="177">
        <f>IF(PaymentSchedule[[#This Row],[PMT NO]]&lt;&gt;"",PaymentSchedule[[#This Row],[BEGINNING BALANCE]]*(InterestRate/PaymentsPerYear),"")</f>
        <v>956.54929255241586</v>
      </c>
      <c r="J7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229186.32544760188</v>
      </c>
      <c r="K72" s="177">
        <f>IF(PaymentSchedule[[#This Row],[PMT NO]]&lt;&gt;"",SUM(INDEX(PaymentSchedule[INTEREST],1,1):PaymentSchedule[[#This Row],[INTEREST]]),"")</f>
        <v>61051.622956953084</v>
      </c>
      <c r="L72" s="178"/>
    </row>
    <row r="73" spans="2:12" x14ac:dyDescent="0.2">
      <c r="B73" s="175">
        <f>IF(LoanIsGood,IF(ROW()-ROW(PaymentSchedule[[#Headers],[PMT NO]])&gt;ScheduledNumberOfPayments,"",ROW()-ROW(PaymentSchedule[[#Headers],[PMT NO]])),"")</f>
        <v>62</v>
      </c>
      <c r="C73" s="176">
        <f>IF(PaymentSchedule[[#This Row],[PMT NO]]&lt;&gt;"",EOMONTH(LoanStartDate,ROW(PaymentSchedule[[#This Row],[PMT NO]])-ROW(PaymentSchedule[[#Headers],[PMT NO]])-2)+DAY(LoanStartDate),"")</f>
        <v>46874</v>
      </c>
      <c r="D73" s="177">
        <f>IF(PaymentSchedule[[#This Row],[PMT NO]]&lt;&gt;"",IF(ROW()-ROW(PaymentSchedule[[#Headers],[BEGINNING BALANCE]])=1,LoanAmount,INDEX(PaymentSchedule[ENDING BALANCE],ROW()-ROW(PaymentSchedule[[#Headers],[BEGINNING BALANCE]])-1)),"")</f>
        <v>229186.32544760188</v>
      </c>
      <c r="E73" s="177">
        <f>IF(PaymentSchedule[[#This Row],[PMT NO]]&lt;&gt;"",ScheduledPayment,"")</f>
        <v>1342.0540575303476</v>
      </c>
      <c r="F7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3" s="177">
        <f>IF(PaymentSchedule[[#This Row],[PMT NO]]&lt;&gt;"",PaymentSchedule[[#This Row],[TOTAL PAYMENT]]-PaymentSchedule[[#This Row],[INTEREST]],"")</f>
        <v>387.11103483200645</v>
      </c>
      <c r="I73" s="177">
        <f>IF(PaymentSchedule[[#This Row],[PMT NO]]&lt;&gt;"",PaymentSchedule[[#This Row],[BEGINNING BALANCE]]*(InterestRate/PaymentsPerYear),"")</f>
        <v>954.94302269834111</v>
      </c>
      <c r="J7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228799.21441276988</v>
      </c>
      <c r="K73" s="177">
        <f>IF(PaymentSchedule[[#This Row],[PMT NO]]&lt;&gt;"",SUM(INDEX(PaymentSchedule[INTEREST],1,1):PaymentSchedule[[#This Row],[INTEREST]]),"")</f>
        <v>62006.565979651423</v>
      </c>
      <c r="L73" s="178"/>
    </row>
    <row r="74" spans="2:12" x14ac:dyDescent="0.2">
      <c r="B74" s="175">
        <f>IF(LoanIsGood,IF(ROW()-ROW(PaymentSchedule[[#Headers],[PMT NO]])&gt;ScheduledNumberOfPayments,"",ROW()-ROW(PaymentSchedule[[#Headers],[PMT NO]])),"")</f>
        <v>63</v>
      </c>
      <c r="C74" s="176">
        <f>IF(PaymentSchedule[[#This Row],[PMT NO]]&lt;&gt;"",EOMONTH(LoanStartDate,ROW(PaymentSchedule[[#This Row],[PMT NO]])-ROW(PaymentSchedule[[#Headers],[PMT NO]])-2)+DAY(LoanStartDate),"")</f>
        <v>46905</v>
      </c>
      <c r="D74" s="177">
        <f>IF(PaymentSchedule[[#This Row],[PMT NO]]&lt;&gt;"",IF(ROW()-ROW(PaymentSchedule[[#Headers],[BEGINNING BALANCE]])=1,LoanAmount,INDEX(PaymentSchedule[ENDING BALANCE],ROW()-ROW(PaymentSchedule[[#Headers],[BEGINNING BALANCE]])-1)),"")</f>
        <v>228799.21441276988</v>
      </c>
      <c r="E74" s="177">
        <f>IF(PaymentSchedule[[#This Row],[PMT NO]]&lt;&gt;"",ScheduledPayment,"")</f>
        <v>1342.0540575303476</v>
      </c>
      <c r="F7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4" s="177">
        <f>IF(PaymentSchedule[[#This Row],[PMT NO]]&lt;&gt;"",PaymentSchedule[[#This Row],[TOTAL PAYMENT]]-PaymentSchedule[[#This Row],[INTEREST]],"")</f>
        <v>388.72399747713973</v>
      </c>
      <c r="I74" s="177">
        <f>IF(PaymentSchedule[[#This Row],[PMT NO]]&lt;&gt;"",PaymentSchedule[[#This Row],[BEGINNING BALANCE]]*(InterestRate/PaymentsPerYear),"")</f>
        <v>953.33006005320783</v>
      </c>
      <c r="J7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228410.49041529273</v>
      </c>
      <c r="K74" s="177">
        <f>IF(PaymentSchedule[[#This Row],[PMT NO]]&lt;&gt;"",SUM(INDEX(PaymentSchedule[INTEREST],1,1):PaymentSchedule[[#This Row],[INTEREST]]),"")</f>
        <v>62959.896039704632</v>
      </c>
      <c r="L74" s="178"/>
    </row>
    <row r="75" spans="2:12" x14ac:dyDescent="0.2">
      <c r="B75" s="175">
        <f>IF(LoanIsGood,IF(ROW()-ROW(PaymentSchedule[[#Headers],[PMT NO]])&gt;ScheduledNumberOfPayments,"",ROW()-ROW(PaymentSchedule[[#Headers],[PMT NO]])),"")</f>
        <v>64</v>
      </c>
      <c r="C75" s="176">
        <f>IF(PaymentSchedule[[#This Row],[PMT NO]]&lt;&gt;"",EOMONTH(LoanStartDate,ROW(PaymentSchedule[[#This Row],[PMT NO]])-ROW(PaymentSchedule[[#Headers],[PMT NO]])-2)+DAY(LoanStartDate),"")</f>
        <v>46935</v>
      </c>
      <c r="D75" s="177">
        <f>IF(PaymentSchedule[[#This Row],[PMT NO]]&lt;&gt;"",IF(ROW()-ROW(PaymentSchedule[[#Headers],[BEGINNING BALANCE]])=1,LoanAmount,INDEX(PaymentSchedule[ENDING BALANCE],ROW()-ROW(PaymentSchedule[[#Headers],[BEGINNING BALANCE]])-1)),"")</f>
        <v>228410.49041529273</v>
      </c>
      <c r="E75" s="177">
        <f>IF(PaymentSchedule[[#This Row],[PMT NO]]&lt;&gt;"",ScheduledPayment,"")</f>
        <v>1342.0540575303476</v>
      </c>
      <c r="F7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5" s="177">
        <f>IF(PaymentSchedule[[#This Row],[PMT NO]]&lt;&gt;"",PaymentSchedule[[#This Row],[TOTAL PAYMENT]]-PaymentSchedule[[#This Row],[INTEREST]],"")</f>
        <v>390.34368079996113</v>
      </c>
      <c r="I75" s="177">
        <f>IF(PaymentSchedule[[#This Row],[PMT NO]]&lt;&gt;"",PaymentSchedule[[#This Row],[BEGINNING BALANCE]]*(InterestRate/PaymentsPerYear),"")</f>
        <v>951.71037673038643</v>
      </c>
      <c r="J7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228020.14673449277</v>
      </c>
      <c r="K75" s="177">
        <f>IF(PaymentSchedule[[#This Row],[PMT NO]]&lt;&gt;"",SUM(INDEX(PaymentSchedule[INTEREST],1,1):PaymentSchedule[[#This Row],[INTEREST]]),"")</f>
        <v>63911.606416435017</v>
      </c>
      <c r="L75" s="178"/>
    </row>
    <row r="76" spans="2:12" x14ac:dyDescent="0.2">
      <c r="B76" s="175">
        <f>IF(LoanIsGood,IF(ROW()-ROW(PaymentSchedule[[#Headers],[PMT NO]])&gt;ScheduledNumberOfPayments,"",ROW()-ROW(PaymentSchedule[[#Headers],[PMT NO]])),"")</f>
        <v>65</v>
      </c>
      <c r="C76" s="176">
        <f>IF(PaymentSchedule[[#This Row],[PMT NO]]&lt;&gt;"",EOMONTH(LoanStartDate,ROW(PaymentSchedule[[#This Row],[PMT NO]])-ROW(PaymentSchedule[[#Headers],[PMT NO]])-2)+DAY(LoanStartDate),"")</f>
        <v>46966</v>
      </c>
      <c r="D76" s="177">
        <f>IF(PaymentSchedule[[#This Row],[PMT NO]]&lt;&gt;"",IF(ROW()-ROW(PaymentSchedule[[#Headers],[BEGINNING BALANCE]])=1,LoanAmount,INDEX(PaymentSchedule[ENDING BALANCE],ROW()-ROW(PaymentSchedule[[#Headers],[BEGINNING BALANCE]])-1)),"")</f>
        <v>228020.14673449277</v>
      </c>
      <c r="E76" s="177">
        <f>IF(PaymentSchedule[[#This Row],[PMT NO]]&lt;&gt;"",ScheduledPayment,"")</f>
        <v>1342.0540575303476</v>
      </c>
      <c r="F7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6" s="177">
        <f>IF(PaymentSchedule[[#This Row],[PMT NO]]&lt;&gt;"",PaymentSchedule[[#This Row],[TOTAL PAYMENT]]-PaymentSchedule[[#This Row],[INTEREST]],"")</f>
        <v>391.97011280329434</v>
      </c>
      <c r="I76" s="177">
        <f>IF(PaymentSchedule[[#This Row],[PMT NO]]&lt;&gt;"",PaymentSchedule[[#This Row],[BEGINNING BALANCE]]*(InterestRate/PaymentsPerYear),"")</f>
        <v>950.08394472705322</v>
      </c>
      <c r="J7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227628.17662168946</v>
      </c>
      <c r="K76" s="177">
        <f>IF(PaymentSchedule[[#This Row],[PMT NO]]&lt;&gt;"",SUM(INDEX(PaymentSchedule[INTEREST],1,1):PaymentSchedule[[#This Row],[INTEREST]]),"")</f>
        <v>64861.690361162073</v>
      </c>
      <c r="L76" s="178"/>
    </row>
    <row r="77" spans="2:12" x14ac:dyDescent="0.2">
      <c r="B77" s="175">
        <f>IF(LoanIsGood,IF(ROW()-ROW(PaymentSchedule[[#Headers],[PMT NO]])&gt;ScheduledNumberOfPayments,"",ROW()-ROW(PaymentSchedule[[#Headers],[PMT NO]])),"")</f>
        <v>66</v>
      </c>
      <c r="C77" s="176">
        <f>IF(PaymentSchedule[[#This Row],[PMT NO]]&lt;&gt;"",EOMONTH(LoanStartDate,ROW(PaymentSchedule[[#This Row],[PMT NO]])-ROW(PaymentSchedule[[#Headers],[PMT NO]])-2)+DAY(LoanStartDate),"")</f>
        <v>46997</v>
      </c>
      <c r="D77" s="177">
        <f>IF(PaymentSchedule[[#This Row],[PMT NO]]&lt;&gt;"",IF(ROW()-ROW(PaymentSchedule[[#Headers],[BEGINNING BALANCE]])=1,LoanAmount,INDEX(PaymentSchedule[ENDING BALANCE],ROW()-ROW(PaymentSchedule[[#Headers],[BEGINNING BALANCE]])-1)),"")</f>
        <v>227628.17662168946</v>
      </c>
      <c r="E77" s="177">
        <f>IF(PaymentSchedule[[#This Row],[PMT NO]]&lt;&gt;"",ScheduledPayment,"")</f>
        <v>1342.0540575303476</v>
      </c>
      <c r="F7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7" s="177">
        <f>IF(PaymentSchedule[[#This Row],[PMT NO]]&lt;&gt;"",PaymentSchedule[[#This Row],[TOTAL PAYMENT]]-PaymentSchedule[[#This Row],[INTEREST]],"")</f>
        <v>393.60332160664154</v>
      </c>
      <c r="I77" s="177">
        <f>IF(PaymentSchedule[[#This Row],[PMT NO]]&lt;&gt;"",PaymentSchedule[[#This Row],[BEGINNING BALANCE]]*(InterestRate/PaymentsPerYear),"")</f>
        <v>948.45073592370602</v>
      </c>
      <c r="J7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227234.57330008282</v>
      </c>
      <c r="K77" s="177">
        <f>IF(PaymentSchedule[[#This Row],[PMT NO]]&lt;&gt;"",SUM(INDEX(PaymentSchedule[INTEREST],1,1):PaymentSchedule[[#This Row],[INTEREST]]),"")</f>
        <v>65810.141097085783</v>
      </c>
      <c r="L77" s="178"/>
    </row>
    <row r="78" spans="2:12" x14ac:dyDescent="0.2">
      <c r="B78" s="175">
        <f>IF(LoanIsGood,IF(ROW()-ROW(PaymentSchedule[[#Headers],[PMT NO]])&gt;ScheduledNumberOfPayments,"",ROW()-ROW(PaymentSchedule[[#Headers],[PMT NO]])),"")</f>
        <v>67</v>
      </c>
      <c r="C78" s="176">
        <f>IF(PaymentSchedule[[#This Row],[PMT NO]]&lt;&gt;"",EOMONTH(LoanStartDate,ROW(PaymentSchedule[[#This Row],[PMT NO]])-ROW(PaymentSchedule[[#Headers],[PMT NO]])-2)+DAY(LoanStartDate),"")</f>
        <v>47027</v>
      </c>
      <c r="D78" s="177">
        <f>IF(PaymentSchedule[[#This Row],[PMT NO]]&lt;&gt;"",IF(ROW()-ROW(PaymentSchedule[[#Headers],[BEGINNING BALANCE]])=1,LoanAmount,INDEX(PaymentSchedule[ENDING BALANCE],ROW()-ROW(PaymentSchedule[[#Headers],[BEGINNING BALANCE]])-1)),"")</f>
        <v>227234.57330008282</v>
      </c>
      <c r="E78" s="177">
        <f>IF(PaymentSchedule[[#This Row],[PMT NO]]&lt;&gt;"",ScheduledPayment,"")</f>
        <v>1342.0540575303476</v>
      </c>
      <c r="F7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8" s="177">
        <f>IF(PaymentSchedule[[#This Row],[PMT NO]]&lt;&gt;"",PaymentSchedule[[#This Row],[TOTAL PAYMENT]]-PaymentSchedule[[#This Row],[INTEREST]],"")</f>
        <v>395.24333544666922</v>
      </c>
      <c r="I78" s="177">
        <f>IF(PaymentSchedule[[#This Row],[PMT NO]]&lt;&gt;"",PaymentSchedule[[#This Row],[BEGINNING BALANCE]]*(InterestRate/PaymentsPerYear),"")</f>
        <v>946.81072208367834</v>
      </c>
      <c r="J7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226839.32996463616</v>
      </c>
      <c r="K78" s="177">
        <f>IF(PaymentSchedule[[#This Row],[PMT NO]]&lt;&gt;"",SUM(INDEX(PaymentSchedule[INTEREST],1,1):PaymentSchedule[[#This Row],[INTEREST]]),"")</f>
        <v>66756.951819169466</v>
      </c>
      <c r="L78" s="178"/>
    </row>
    <row r="79" spans="2:12" x14ac:dyDescent="0.2">
      <c r="B79" s="175">
        <f>IF(LoanIsGood,IF(ROW()-ROW(PaymentSchedule[[#Headers],[PMT NO]])&gt;ScheduledNumberOfPayments,"",ROW()-ROW(PaymentSchedule[[#Headers],[PMT NO]])),"")</f>
        <v>68</v>
      </c>
      <c r="C79" s="176">
        <f>IF(PaymentSchedule[[#This Row],[PMT NO]]&lt;&gt;"",EOMONTH(LoanStartDate,ROW(PaymentSchedule[[#This Row],[PMT NO]])-ROW(PaymentSchedule[[#Headers],[PMT NO]])-2)+DAY(LoanStartDate),"")</f>
        <v>47058</v>
      </c>
      <c r="D79" s="177">
        <f>IF(PaymentSchedule[[#This Row],[PMT NO]]&lt;&gt;"",IF(ROW()-ROW(PaymentSchedule[[#Headers],[BEGINNING BALANCE]])=1,LoanAmount,INDEX(PaymentSchedule[ENDING BALANCE],ROW()-ROW(PaymentSchedule[[#Headers],[BEGINNING BALANCE]])-1)),"")</f>
        <v>226839.32996463616</v>
      </c>
      <c r="E79" s="177">
        <f>IF(PaymentSchedule[[#This Row],[PMT NO]]&lt;&gt;"",ScheduledPayment,"")</f>
        <v>1342.0540575303476</v>
      </c>
      <c r="F7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79" s="177">
        <f>IF(PaymentSchedule[[#This Row],[PMT NO]]&lt;&gt;"",PaymentSchedule[[#This Row],[TOTAL PAYMENT]]-PaymentSchedule[[#This Row],[INTEREST]],"")</f>
        <v>396.89018267769688</v>
      </c>
      <c r="I79" s="177">
        <f>IF(PaymentSchedule[[#This Row],[PMT NO]]&lt;&gt;"",PaymentSchedule[[#This Row],[BEGINNING BALANCE]]*(InterestRate/PaymentsPerYear),"")</f>
        <v>945.16387485265068</v>
      </c>
      <c r="J7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226442.43978195847</v>
      </c>
      <c r="K79" s="177">
        <f>IF(PaymentSchedule[[#This Row],[PMT NO]]&lt;&gt;"",SUM(INDEX(PaymentSchedule[INTEREST],1,1):PaymentSchedule[[#This Row],[INTEREST]]),"")</f>
        <v>67702.115694022112</v>
      </c>
      <c r="L79" s="178"/>
    </row>
    <row r="80" spans="2:12" x14ac:dyDescent="0.2">
      <c r="B80" s="175">
        <f>IF(LoanIsGood,IF(ROW()-ROW(PaymentSchedule[[#Headers],[PMT NO]])&gt;ScheduledNumberOfPayments,"",ROW()-ROW(PaymentSchedule[[#Headers],[PMT NO]])),"")</f>
        <v>69</v>
      </c>
      <c r="C80" s="176">
        <f>IF(PaymentSchedule[[#This Row],[PMT NO]]&lt;&gt;"",EOMONTH(LoanStartDate,ROW(PaymentSchedule[[#This Row],[PMT NO]])-ROW(PaymentSchedule[[#Headers],[PMT NO]])-2)+DAY(LoanStartDate),"")</f>
        <v>47088</v>
      </c>
      <c r="D80" s="177">
        <f>IF(PaymentSchedule[[#This Row],[PMT NO]]&lt;&gt;"",IF(ROW()-ROW(PaymentSchedule[[#Headers],[BEGINNING BALANCE]])=1,LoanAmount,INDEX(PaymentSchedule[ENDING BALANCE],ROW()-ROW(PaymentSchedule[[#Headers],[BEGINNING BALANCE]])-1)),"")</f>
        <v>226442.43978195847</v>
      </c>
      <c r="E80" s="177">
        <f>IF(PaymentSchedule[[#This Row],[PMT NO]]&lt;&gt;"",ScheduledPayment,"")</f>
        <v>1342.0540575303476</v>
      </c>
      <c r="F8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0" s="177">
        <f>IF(PaymentSchedule[[#This Row],[PMT NO]]&lt;&gt;"",PaymentSchedule[[#This Row],[TOTAL PAYMENT]]-PaymentSchedule[[#This Row],[INTEREST]],"")</f>
        <v>398.54389177218729</v>
      </c>
      <c r="I80" s="177">
        <f>IF(PaymentSchedule[[#This Row],[PMT NO]]&lt;&gt;"",PaymentSchedule[[#This Row],[BEGINNING BALANCE]]*(InterestRate/PaymentsPerYear),"")</f>
        <v>943.51016575816027</v>
      </c>
      <c r="J8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226043.89589018628</v>
      </c>
      <c r="K80" s="177">
        <f>IF(PaymentSchedule[[#This Row],[PMT NO]]&lt;&gt;"",SUM(INDEX(PaymentSchedule[INTEREST],1,1):PaymentSchedule[[#This Row],[INTEREST]]),"")</f>
        <v>68645.625859780266</v>
      </c>
      <c r="L80" s="178"/>
    </row>
    <row r="81" spans="2:12" x14ac:dyDescent="0.2">
      <c r="B81" s="175">
        <f>IF(LoanIsGood,IF(ROW()-ROW(PaymentSchedule[[#Headers],[PMT NO]])&gt;ScheduledNumberOfPayments,"",ROW()-ROW(PaymentSchedule[[#Headers],[PMT NO]])),"")</f>
        <v>70</v>
      </c>
      <c r="C81" s="176">
        <f>IF(PaymentSchedule[[#This Row],[PMT NO]]&lt;&gt;"",EOMONTH(LoanStartDate,ROW(PaymentSchedule[[#This Row],[PMT NO]])-ROW(PaymentSchedule[[#Headers],[PMT NO]])-2)+DAY(LoanStartDate),"")</f>
        <v>47119</v>
      </c>
      <c r="D81" s="177">
        <f>IF(PaymentSchedule[[#This Row],[PMT NO]]&lt;&gt;"",IF(ROW()-ROW(PaymentSchedule[[#Headers],[BEGINNING BALANCE]])=1,LoanAmount,INDEX(PaymentSchedule[ENDING BALANCE],ROW()-ROW(PaymentSchedule[[#Headers],[BEGINNING BALANCE]])-1)),"")</f>
        <v>226043.89589018628</v>
      </c>
      <c r="E81" s="177">
        <f>IF(PaymentSchedule[[#This Row],[PMT NO]]&lt;&gt;"",ScheduledPayment,"")</f>
        <v>1342.0540575303476</v>
      </c>
      <c r="F8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1" s="177">
        <f>IF(PaymentSchedule[[#This Row],[PMT NO]]&lt;&gt;"",PaymentSchedule[[#This Row],[TOTAL PAYMENT]]-PaymentSchedule[[#This Row],[INTEREST]],"")</f>
        <v>400.20449132123804</v>
      </c>
      <c r="I81" s="177">
        <f>IF(PaymentSchedule[[#This Row],[PMT NO]]&lt;&gt;"",PaymentSchedule[[#This Row],[BEGINNING BALANCE]]*(InterestRate/PaymentsPerYear),"")</f>
        <v>941.84956620910953</v>
      </c>
      <c r="J8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225643.69139886505</v>
      </c>
      <c r="K81" s="177">
        <f>IF(PaymentSchedule[[#This Row],[PMT NO]]&lt;&gt;"",SUM(INDEX(PaymentSchedule[INTEREST],1,1):PaymentSchedule[[#This Row],[INTEREST]]),"")</f>
        <v>69587.475425989382</v>
      </c>
      <c r="L81" s="178"/>
    </row>
    <row r="82" spans="2:12" x14ac:dyDescent="0.2">
      <c r="B82" s="175">
        <f>IF(LoanIsGood,IF(ROW()-ROW(PaymentSchedule[[#Headers],[PMT NO]])&gt;ScheduledNumberOfPayments,"",ROW()-ROW(PaymentSchedule[[#Headers],[PMT NO]])),"")</f>
        <v>71</v>
      </c>
      <c r="C82" s="176">
        <f>IF(PaymentSchedule[[#This Row],[PMT NO]]&lt;&gt;"",EOMONTH(LoanStartDate,ROW(PaymentSchedule[[#This Row],[PMT NO]])-ROW(PaymentSchedule[[#Headers],[PMT NO]])-2)+DAY(LoanStartDate),"")</f>
        <v>47150</v>
      </c>
      <c r="D82" s="177">
        <f>IF(PaymentSchedule[[#This Row],[PMT NO]]&lt;&gt;"",IF(ROW()-ROW(PaymentSchedule[[#Headers],[BEGINNING BALANCE]])=1,LoanAmount,INDEX(PaymentSchedule[ENDING BALANCE],ROW()-ROW(PaymentSchedule[[#Headers],[BEGINNING BALANCE]])-1)),"")</f>
        <v>225643.69139886505</v>
      </c>
      <c r="E82" s="177">
        <f>IF(PaymentSchedule[[#This Row],[PMT NO]]&lt;&gt;"",ScheduledPayment,"")</f>
        <v>1342.0540575303476</v>
      </c>
      <c r="F8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2" s="177">
        <f>IF(PaymentSchedule[[#This Row],[PMT NO]]&lt;&gt;"",PaymentSchedule[[#This Row],[TOTAL PAYMENT]]-PaymentSchedule[[#This Row],[INTEREST]],"")</f>
        <v>401.87201003507653</v>
      </c>
      <c r="I82" s="177">
        <f>IF(PaymentSchedule[[#This Row],[PMT NO]]&lt;&gt;"",PaymentSchedule[[#This Row],[BEGINNING BALANCE]]*(InterestRate/PaymentsPerYear),"")</f>
        <v>940.18204749527104</v>
      </c>
      <c r="J8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225241.81938882999</v>
      </c>
      <c r="K82" s="177">
        <f>IF(PaymentSchedule[[#This Row],[PMT NO]]&lt;&gt;"",SUM(INDEX(PaymentSchedule[INTEREST],1,1):PaymentSchedule[[#This Row],[INTEREST]]),"")</f>
        <v>70527.657473484651</v>
      </c>
      <c r="L82" s="178"/>
    </row>
    <row r="83" spans="2:12" x14ac:dyDescent="0.2">
      <c r="B83" s="175">
        <f>IF(LoanIsGood,IF(ROW()-ROW(PaymentSchedule[[#Headers],[PMT NO]])&gt;ScheduledNumberOfPayments,"",ROW()-ROW(PaymentSchedule[[#Headers],[PMT NO]])),"")</f>
        <v>72</v>
      </c>
      <c r="C83" s="176">
        <f>IF(PaymentSchedule[[#This Row],[PMT NO]]&lt;&gt;"",EOMONTH(LoanStartDate,ROW(PaymentSchedule[[#This Row],[PMT NO]])-ROW(PaymentSchedule[[#Headers],[PMT NO]])-2)+DAY(LoanStartDate),"")</f>
        <v>47178</v>
      </c>
      <c r="D83" s="177">
        <f>IF(PaymentSchedule[[#This Row],[PMT NO]]&lt;&gt;"",IF(ROW()-ROW(PaymentSchedule[[#Headers],[BEGINNING BALANCE]])=1,LoanAmount,INDEX(PaymentSchedule[ENDING BALANCE],ROW()-ROW(PaymentSchedule[[#Headers],[BEGINNING BALANCE]])-1)),"")</f>
        <v>225241.81938882999</v>
      </c>
      <c r="E83" s="177">
        <f>IF(PaymentSchedule[[#This Row],[PMT NO]]&lt;&gt;"",ScheduledPayment,"")</f>
        <v>1342.0540575303476</v>
      </c>
      <c r="F8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3" s="177">
        <f>IF(PaymentSchedule[[#This Row],[PMT NO]]&lt;&gt;"",PaymentSchedule[[#This Row],[TOTAL PAYMENT]]-PaymentSchedule[[#This Row],[INTEREST]],"")</f>
        <v>403.54647674355601</v>
      </c>
      <c r="I83" s="177">
        <f>IF(PaymentSchedule[[#This Row],[PMT NO]]&lt;&gt;"",PaymentSchedule[[#This Row],[BEGINNING BALANCE]]*(InterestRate/PaymentsPerYear),"")</f>
        <v>938.50758078679155</v>
      </c>
      <c r="J8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224838.27291208642</v>
      </c>
      <c r="K83" s="177">
        <f>IF(PaymentSchedule[[#This Row],[PMT NO]]&lt;&gt;"",SUM(INDEX(PaymentSchedule[INTEREST],1,1):PaymentSchedule[[#This Row],[INTEREST]]),"")</f>
        <v>71466.165054271449</v>
      </c>
      <c r="L83" s="178"/>
    </row>
    <row r="84" spans="2:12" x14ac:dyDescent="0.2">
      <c r="B84" s="175">
        <f>IF(LoanIsGood,IF(ROW()-ROW(PaymentSchedule[[#Headers],[PMT NO]])&gt;ScheduledNumberOfPayments,"",ROW()-ROW(PaymentSchedule[[#Headers],[PMT NO]])),"")</f>
        <v>73</v>
      </c>
      <c r="C84" s="176">
        <f>IF(PaymentSchedule[[#This Row],[PMT NO]]&lt;&gt;"",EOMONTH(LoanStartDate,ROW(PaymentSchedule[[#This Row],[PMT NO]])-ROW(PaymentSchedule[[#Headers],[PMT NO]])-2)+DAY(LoanStartDate),"")</f>
        <v>47209</v>
      </c>
      <c r="D84" s="177">
        <f>IF(PaymentSchedule[[#This Row],[PMT NO]]&lt;&gt;"",IF(ROW()-ROW(PaymentSchedule[[#Headers],[BEGINNING BALANCE]])=1,LoanAmount,INDEX(PaymentSchedule[ENDING BALANCE],ROW()-ROW(PaymentSchedule[[#Headers],[BEGINNING BALANCE]])-1)),"")</f>
        <v>224838.27291208642</v>
      </c>
      <c r="E84" s="177">
        <f>IF(PaymentSchedule[[#This Row],[PMT NO]]&lt;&gt;"",ScheduledPayment,"")</f>
        <v>1342.0540575303476</v>
      </c>
      <c r="F8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4" s="177">
        <f>IF(PaymentSchedule[[#This Row],[PMT NO]]&lt;&gt;"",PaymentSchedule[[#This Row],[TOTAL PAYMENT]]-PaymentSchedule[[#This Row],[INTEREST]],"")</f>
        <v>405.2279203966541</v>
      </c>
      <c r="I84" s="177">
        <f>IF(PaymentSchedule[[#This Row],[PMT NO]]&lt;&gt;"",PaymentSchedule[[#This Row],[BEGINNING BALANCE]]*(InterestRate/PaymentsPerYear),"")</f>
        <v>936.82613713369346</v>
      </c>
      <c r="J8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224433.04499168976</v>
      </c>
      <c r="K84" s="177">
        <f>IF(PaymentSchedule[[#This Row],[PMT NO]]&lt;&gt;"",SUM(INDEX(PaymentSchedule[INTEREST],1,1):PaymentSchedule[[#This Row],[INTEREST]]),"")</f>
        <v>72402.991191405148</v>
      </c>
      <c r="L84" s="178"/>
    </row>
    <row r="85" spans="2:12" x14ac:dyDescent="0.2">
      <c r="B85" s="175">
        <f>IF(LoanIsGood,IF(ROW()-ROW(PaymentSchedule[[#Headers],[PMT NO]])&gt;ScheduledNumberOfPayments,"",ROW()-ROW(PaymentSchedule[[#Headers],[PMT NO]])),"")</f>
        <v>74</v>
      </c>
      <c r="C85" s="176">
        <f>IF(PaymentSchedule[[#This Row],[PMT NO]]&lt;&gt;"",EOMONTH(LoanStartDate,ROW(PaymentSchedule[[#This Row],[PMT NO]])-ROW(PaymentSchedule[[#Headers],[PMT NO]])-2)+DAY(LoanStartDate),"")</f>
        <v>47239</v>
      </c>
      <c r="D85" s="177">
        <f>IF(PaymentSchedule[[#This Row],[PMT NO]]&lt;&gt;"",IF(ROW()-ROW(PaymentSchedule[[#Headers],[BEGINNING BALANCE]])=1,LoanAmount,INDEX(PaymentSchedule[ENDING BALANCE],ROW()-ROW(PaymentSchedule[[#Headers],[BEGINNING BALANCE]])-1)),"")</f>
        <v>224433.04499168976</v>
      </c>
      <c r="E85" s="177">
        <f>IF(PaymentSchedule[[#This Row],[PMT NO]]&lt;&gt;"",ScheduledPayment,"")</f>
        <v>1342.0540575303476</v>
      </c>
      <c r="F8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5" s="177">
        <f>IF(PaymentSchedule[[#This Row],[PMT NO]]&lt;&gt;"",PaymentSchedule[[#This Row],[TOTAL PAYMENT]]-PaymentSchedule[[#This Row],[INTEREST]],"")</f>
        <v>406.91637006497353</v>
      </c>
      <c r="I85" s="177">
        <f>IF(PaymentSchedule[[#This Row],[PMT NO]]&lt;&gt;"",PaymentSchedule[[#This Row],[BEGINNING BALANCE]]*(InterestRate/PaymentsPerYear),"")</f>
        <v>935.13768746537403</v>
      </c>
      <c r="J8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224026.12862162478</v>
      </c>
      <c r="K85" s="177">
        <f>IF(PaymentSchedule[[#This Row],[PMT NO]]&lt;&gt;"",SUM(INDEX(PaymentSchedule[INTEREST],1,1):PaymentSchedule[[#This Row],[INTEREST]]),"")</f>
        <v>73338.128878870528</v>
      </c>
      <c r="L85" s="178"/>
    </row>
    <row r="86" spans="2:12" x14ac:dyDescent="0.2">
      <c r="B86" s="175">
        <f>IF(LoanIsGood,IF(ROW()-ROW(PaymentSchedule[[#Headers],[PMT NO]])&gt;ScheduledNumberOfPayments,"",ROW()-ROW(PaymentSchedule[[#Headers],[PMT NO]])),"")</f>
        <v>75</v>
      </c>
      <c r="C86" s="176">
        <f>IF(PaymentSchedule[[#This Row],[PMT NO]]&lt;&gt;"",EOMONTH(LoanStartDate,ROW(PaymentSchedule[[#This Row],[PMT NO]])-ROW(PaymentSchedule[[#Headers],[PMT NO]])-2)+DAY(LoanStartDate),"")</f>
        <v>47270</v>
      </c>
      <c r="D86" s="177">
        <f>IF(PaymentSchedule[[#This Row],[PMT NO]]&lt;&gt;"",IF(ROW()-ROW(PaymentSchedule[[#Headers],[BEGINNING BALANCE]])=1,LoanAmount,INDEX(PaymentSchedule[ENDING BALANCE],ROW()-ROW(PaymentSchedule[[#Headers],[BEGINNING BALANCE]])-1)),"")</f>
        <v>224026.12862162478</v>
      </c>
      <c r="E86" s="177">
        <f>IF(PaymentSchedule[[#This Row],[PMT NO]]&lt;&gt;"",ScheduledPayment,"")</f>
        <v>1342.0540575303476</v>
      </c>
      <c r="F8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6" s="177">
        <f>IF(PaymentSchedule[[#This Row],[PMT NO]]&lt;&gt;"",PaymentSchedule[[#This Row],[TOTAL PAYMENT]]-PaymentSchedule[[#This Row],[INTEREST]],"")</f>
        <v>408.61185494024437</v>
      </c>
      <c r="I86" s="177">
        <f>IF(PaymentSchedule[[#This Row],[PMT NO]]&lt;&gt;"",PaymentSchedule[[#This Row],[BEGINNING BALANCE]]*(InterestRate/PaymentsPerYear),"")</f>
        <v>933.44220259010319</v>
      </c>
      <c r="J8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223617.51676668454</v>
      </c>
      <c r="K86" s="177">
        <f>IF(PaymentSchedule[[#This Row],[PMT NO]]&lt;&gt;"",SUM(INDEX(PaymentSchedule[INTEREST],1,1):PaymentSchedule[[#This Row],[INTEREST]]),"")</f>
        <v>74271.571081460628</v>
      </c>
      <c r="L86" s="178"/>
    </row>
    <row r="87" spans="2:12" x14ac:dyDescent="0.2">
      <c r="B87" s="175">
        <f>IF(LoanIsGood,IF(ROW()-ROW(PaymentSchedule[[#Headers],[PMT NO]])&gt;ScheduledNumberOfPayments,"",ROW()-ROW(PaymentSchedule[[#Headers],[PMT NO]])),"")</f>
        <v>76</v>
      </c>
      <c r="C87" s="176">
        <f>IF(PaymentSchedule[[#This Row],[PMT NO]]&lt;&gt;"",EOMONTH(LoanStartDate,ROW(PaymentSchedule[[#This Row],[PMT NO]])-ROW(PaymentSchedule[[#Headers],[PMT NO]])-2)+DAY(LoanStartDate),"")</f>
        <v>47300</v>
      </c>
      <c r="D87" s="177">
        <f>IF(PaymentSchedule[[#This Row],[PMT NO]]&lt;&gt;"",IF(ROW()-ROW(PaymentSchedule[[#Headers],[BEGINNING BALANCE]])=1,LoanAmount,INDEX(PaymentSchedule[ENDING BALANCE],ROW()-ROW(PaymentSchedule[[#Headers],[BEGINNING BALANCE]])-1)),"")</f>
        <v>223617.51676668454</v>
      </c>
      <c r="E87" s="177">
        <f>IF(PaymentSchedule[[#This Row],[PMT NO]]&lt;&gt;"",ScheduledPayment,"")</f>
        <v>1342.0540575303476</v>
      </c>
      <c r="F8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7" s="177">
        <f>IF(PaymentSchedule[[#This Row],[PMT NO]]&lt;&gt;"",PaymentSchedule[[#This Row],[TOTAL PAYMENT]]-PaymentSchedule[[#This Row],[INTEREST]],"")</f>
        <v>410.31440433582873</v>
      </c>
      <c r="I87" s="177">
        <f>IF(PaymentSchedule[[#This Row],[PMT NO]]&lt;&gt;"",PaymentSchedule[[#This Row],[BEGINNING BALANCE]]*(InterestRate/PaymentsPerYear),"")</f>
        <v>931.73965319451884</v>
      </c>
      <c r="J8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223207.2023623487</v>
      </c>
      <c r="K87" s="177">
        <f>IF(PaymentSchedule[[#This Row],[PMT NO]]&lt;&gt;"",SUM(INDEX(PaymentSchedule[INTEREST],1,1):PaymentSchedule[[#This Row],[INTEREST]]),"")</f>
        <v>75203.310734655141</v>
      </c>
      <c r="L87" s="178"/>
    </row>
    <row r="88" spans="2:12" x14ac:dyDescent="0.2">
      <c r="B88" s="175">
        <f>IF(LoanIsGood,IF(ROW()-ROW(PaymentSchedule[[#Headers],[PMT NO]])&gt;ScheduledNumberOfPayments,"",ROW()-ROW(PaymentSchedule[[#Headers],[PMT NO]])),"")</f>
        <v>77</v>
      </c>
      <c r="C88" s="176">
        <f>IF(PaymentSchedule[[#This Row],[PMT NO]]&lt;&gt;"",EOMONTH(LoanStartDate,ROW(PaymentSchedule[[#This Row],[PMT NO]])-ROW(PaymentSchedule[[#Headers],[PMT NO]])-2)+DAY(LoanStartDate),"")</f>
        <v>47331</v>
      </c>
      <c r="D88" s="177">
        <f>IF(PaymentSchedule[[#This Row],[PMT NO]]&lt;&gt;"",IF(ROW()-ROW(PaymentSchedule[[#Headers],[BEGINNING BALANCE]])=1,LoanAmount,INDEX(PaymentSchedule[ENDING BALANCE],ROW()-ROW(PaymentSchedule[[#Headers],[BEGINNING BALANCE]])-1)),"")</f>
        <v>223207.2023623487</v>
      </c>
      <c r="E88" s="177">
        <f>IF(PaymentSchedule[[#This Row],[PMT NO]]&lt;&gt;"",ScheduledPayment,"")</f>
        <v>1342.0540575303476</v>
      </c>
      <c r="F8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8" s="177">
        <f>IF(PaymentSchedule[[#This Row],[PMT NO]]&lt;&gt;"",PaymentSchedule[[#This Row],[TOTAL PAYMENT]]-PaymentSchedule[[#This Row],[INTEREST]],"")</f>
        <v>412.02404768722795</v>
      </c>
      <c r="I88" s="177">
        <f>IF(PaymentSchedule[[#This Row],[PMT NO]]&lt;&gt;"",PaymentSchedule[[#This Row],[BEGINNING BALANCE]]*(InterestRate/PaymentsPerYear),"")</f>
        <v>930.03000984311961</v>
      </c>
      <c r="J8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222795.17831466146</v>
      </c>
      <c r="K88" s="177">
        <f>IF(PaymentSchedule[[#This Row],[PMT NO]]&lt;&gt;"",SUM(INDEX(PaymentSchedule[INTEREST],1,1):PaymentSchedule[[#This Row],[INTEREST]]),"")</f>
        <v>76133.340744498259</v>
      </c>
      <c r="L88" s="178"/>
    </row>
    <row r="89" spans="2:12" x14ac:dyDescent="0.2">
      <c r="B89" s="175">
        <f>IF(LoanIsGood,IF(ROW()-ROW(PaymentSchedule[[#Headers],[PMT NO]])&gt;ScheduledNumberOfPayments,"",ROW()-ROW(PaymentSchedule[[#Headers],[PMT NO]])),"")</f>
        <v>78</v>
      </c>
      <c r="C89" s="176">
        <f>IF(PaymentSchedule[[#This Row],[PMT NO]]&lt;&gt;"",EOMONTH(LoanStartDate,ROW(PaymentSchedule[[#This Row],[PMT NO]])-ROW(PaymentSchedule[[#Headers],[PMT NO]])-2)+DAY(LoanStartDate),"")</f>
        <v>47362</v>
      </c>
      <c r="D89" s="177">
        <f>IF(PaymentSchedule[[#This Row],[PMT NO]]&lt;&gt;"",IF(ROW()-ROW(PaymentSchedule[[#Headers],[BEGINNING BALANCE]])=1,LoanAmount,INDEX(PaymentSchedule[ENDING BALANCE],ROW()-ROW(PaymentSchedule[[#Headers],[BEGINNING BALANCE]])-1)),"")</f>
        <v>222795.17831466146</v>
      </c>
      <c r="E89" s="177">
        <f>IF(PaymentSchedule[[#This Row],[PMT NO]]&lt;&gt;"",ScheduledPayment,"")</f>
        <v>1342.0540575303476</v>
      </c>
      <c r="F8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89" s="177">
        <f>IF(PaymentSchedule[[#This Row],[PMT NO]]&lt;&gt;"",PaymentSchedule[[#This Row],[TOTAL PAYMENT]]-PaymentSchedule[[#This Row],[INTEREST]],"")</f>
        <v>413.74081455259147</v>
      </c>
      <c r="I89" s="177">
        <f>IF(PaymentSchedule[[#This Row],[PMT NO]]&lt;&gt;"",PaymentSchedule[[#This Row],[BEGINNING BALANCE]]*(InterestRate/PaymentsPerYear),"")</f>
        <v>928.31324297775609</v>
      </c>
      <c r="J8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222381.43750010888</v>
      </c>
      <c r="K89" s="177">
        <f>IF(PaymentSchedule[[#This Row],[PMT NO]]&lt;&gt;"",SUM(INDEX(PaymentSchedule[INTEREST],1,1):PaymentSchedule[[#This Row],[INTEREST]]),"")</f>
        <v>77061.65398747602</v>
      </c>
      <c r="L89" s="178"/>
    </row>
    <row r="90" spans="2:12" x14ac:dyDescent="0.2">
      <c r="B90" s="175">
        <f>IF(LoanIsGood,IF(ROW()-ROW(PaymentSchedule[[#Headers],[PMT NO]])&gt;ScheduledNumberOfPayments,"",ROW()-ROW(PaymentSchedule[[#Headers],[PMT NO]])),"")</f>
        <v>79</v>
      </c>
      <c r="C90" s="176">
        <f>IF(PaymentSchedule[[#This Row],[PMT NO]]&lt;&gt;"",EOMONTH(LoanStartDate,ROW(PaymentSchedule[[#This Row],[PMT NO]])-ROW(PaymentSchedule[[#Headers],[PMT NO]])-2)+DAY(LoanStartDate),"")</f>
        <v>47392</v>
      </c>
      <c r="D90" s="177">
        <f>IF(PaymentSchedule[[#This Row],[PMT NO]]&lt;&gt;"",IF(ROW()-ROW(PaymentSchedule[[#Headers],[BEGINNING BALANCE]])=1,LoanAmount,INDEX(PaymentSchedule[ENDING BALANCE],ROW()-ROW(PaymentSchedule[[#Headers],[BEGINNING BALANCE]])-1)),"")</f>
        <v>222381.43750010888</v>
      </c>
      <c r="E90" s="177">
        <f>IF(PaymentSchedule[[#This Row],[PMT NO]]&lt;&gt;"",ScheduledPayment,"")</f>
        <v>1342.0540575303476</v>
      </c>
      <c r="F9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0" s="177">
        <f>IF(PaymentSchedule[[#This Row],[PMT NO]]&lt;&gt;"",PaymentSchedule[[#This Row],[TOTAL PAYMENT]]-PaymentSchedule[[#This Row],[INTEREST]],"")</f>
        <v>415.46473461322728</v>
      </c>
      <c r="I90" s="177">
        <f>IF(PaymentSchedule[[#This Row],[PMT NO]]&lt;&gt;"",PaymentSchedule[[#This Row],[BEGINNING BALANCE]]*(InterestRate/PaymentsPerYear),"")</f>
        <v>926.58932291712028</v>
      </c>
      <c r="J9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221965.97276549565</v>
      </c>
      <c r="K90" s="177">
        <f>IF(PaymentSchedule[[#This Row],[PMT NO]]&lt;&gt;"",SUM(INDEX(PaymentSchedule[INTEREST],1,1):PaymentSchedule[[#This Row],[INTEREST]]),"")</f>
        <v>77988.24331039314</v>
      </c>
      <c r="L90" s="178"/>
    </row>
    <row r="91" spans="2:12" x14ac:dyDescent="0.2">
      <c r="B91" s="175">
        <f>IF(LoanIsGood,IF(ROW()-ROW(PaymentSchedule[[#Headers],[PMT NO]])&gt;ScheduledNumberOfPayments,"",ROW()-ROW(PaymentSchedule[[#Headers],[PMT NO]])),"")</f>
        <v>80</v>
      </c>
      <c r="C91" s="176">
        <f>IF(PaymentSchedule[[#This Row],[PMT NO]]&lt;&gt;"",EOMONTH(LoanStartDate,ROW(PaymentSchedule[[#This Row],[PMT NO]])-ROW(PaymentSchedule[[#Headers],[PMT NO]])-2)+DAY(LoanStartDate),"")</f>
        <v>47423</v>
      </c>
      <c r="D91" s="177">
        <f>IF(PaymentSchedule[[#This Row],[PMT NO]]&lt;&gt;"",IF(ROW()-ROW(PaymentSchedule[[#Headers],[BEGINNING BALANCE]])=1,LoanAmount,INDEX(PaymentSchedule[ENDING BALANCE],ROW()-ROW(PaymentSchedule[[#Headers],[BEGINNING BALANCE]])-1)),"")</f>
        <v>221965.97276549565</v>
      </c>
      <c r="E91" s="177">
        <f>IF(PaymentSchedule[[#This Row],[PMT NO]]&lt;&gt;"",ScheduledPayment,"")</f>
        <v>1342.0540575303476</v>
      </c>
      <c r="F9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1" s="177">
        <f>IF(PaymentSchedule[[#This Row],[PMT NO]]&lt;&gt;"",PaymentSchedule[[#This Row],[TOTAL PAYMENT]]-PaymentSchedule[[#This Row],[INTEREST]],"")</f>
        <v>417.19583767411575</v>
      </c>
      <c r="I91" s="177">
        <f>IF(PaymentSchedule[[#This Row],[PMT NO]]&lt;&gt;"",PaymentSchedule[[#This Row],[BEGINNING BALANCE]]*(InterestRate/PaymentsPerYear),"")</f>
        <v>924.85821985623181</v>
      </c>
      <c r="J9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221548.77692782154</v>
      </c>
      <c r="K91" s="177">
        <f>IF(PaymentSchedule[[#This Row],[PMT NO]]&lt;&gt;"",SUM(INDEX(PaymentSchedule[INTEREST],1,1):PaymentSchedule[[#This Row],[INTEREST]]),"")</f>
        <v>78913.101530249376</v>
      </c>
      <c r="L91" s="178"/>
    </row>
    <row r="92" spans="2:12" x14ac:dyDescent="0.2">
      <c r="B92" s="175">
        <f>IF(LoanIsGood,IF(ROW()-ROW(PaymentSchedule[[#Headers],[PMT NO]])&gt;ScheduledNumberOfPayments,"",ROW()-ROW(PaymentSchedule[[#Headers],[PMT NO]])),"")</f>
        <v>81</v>
      </c>
      <c r="C92" s="176">
        <f>IF(PaymentSchedule[[#This Row],[PMT NO]]&lt;&gt;"",EOMONTH(LoanStartDate,ROW(PaymentSchedule[[#This Row],[PMT NO]])-ROW(PaymentSchedule[[#Headers],[PMT NO]])-2)+DAY(LoanStartDate),"")</f>
        <v>47453</v>
      </c>
      <c r="D92" s="177">
        <f>IF(PaymentSchedule[[#This Row],[PMT NO]]&lt;&gt;"",IF(ROW()-ROW(PaymentSchedule[[#Headers],[BEGINNING BALANCE]])=1,LoanAmount,INDEX(PaymentSchedule[ENDING BALANCE],ROW()-ROW(PaymentSchedule[[#Headers],[BEGINNING BALANCE]])-1)),"")</f>
        <v>221548.77692782154</v>
      </c>
      <c r="E92" s="177">
        <f>IF(PaymentSchedule[[#This Row],[PMT NO]]&lt;&gt;"",ScheduledPayment,"")</f>
        <v>1342.0540575303476</v>
      </c>
      <c r="F9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2" s="177">
        <f>IF(PaymentSchedule[[#This Row],[PMT NO]]&lt;&gt;"",PaymentSchedule[[#This Row],[TOTAL PAYMENT]]-PaymentSchedule[[#This Row],[INTEREST]],"")</f>
        <v>418.93415366442446</v>
      </c>
      <c r="I92" s="177">
        <f>IF(PaymentSchedule[[#This Row],[PMT NO]]&lt;&gt;"",PaymentSchedule[[#This Row],[BEGINNING BALANCE]]*(InterestRate/PaymentsPerYear),"")</f>
        <v>923.11990386592311</v>
      </c>
      <c r="J9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221129.84277415712</v>
      </c>
      <c r="K92" s="177">
        <f>IF(PaymentSchedule[[#This Row],[PMT NO]]&lt;&gt;"",SUM(INDEX(PaymentSchedule[INTEREST],1,1):PaymentSchedule[[#This Row],[INTEREST]]),"")</f>
        <v>79836.221434115301</v>
      </c>
      <c r="L92" s="178"/>
    </row>
    <row r="93" spans="2:12" x14ac:dyDescent="0.2">
      <c r="B93" s="175">
        <f>IF(LoanIsGood,IF(ROW()-ROW(PaymentSchedule[[#Headers],[PMT NO]])&gt;ScheduledNumberOfPayments,"",ROW()-ROW(PaymentSchedule[[#Headers],[PMT NO]])),"")</f>
        <v>82</v>
      </c>
      <c r="C93" s="176">
        <f>IF(PaymentSchedule[[#This Row],[PMT NO]]&lt;&gt;"",EOMONTH(LoanStartDate,ROW(PaymentSchedule[[#This Row],[PMT NO]])-ROW(PaymentSchedule[[#Headers],[PMT NO]])-2)+DAY(LoanStartDate),"")</f>
        <v>47484</v>
      </c>
      <c r="D93" s="177">
        <f>IF(PaymentSchedule[[#This Row],[PMT NO]]&lt;&gt;"",IF(ROW()-ROW(PaymentSchedule[[#Headers],[BEGINNING BALANCE]])=1,LoanAmount,INDEX(PaymentSchedule[ENDING BALANCE],ROW()-ROW(PaymentSchedule[[#Headers],[BEGINNING BALANCE]])-1)),"")</f>
        <v>221129.84277415712</v>
      </c>
      <c r="E93" s="177">
        <f>IF(PaymentSchedule[[#This Row],[PMT NO]]&lt;&gt;"",ScheduledPayment,"")</f>
        <v>1342.0540575303476</v>
      </c>
      <c r="F9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3" s="177">
        <f>IF(PaymentSchedule[[#This Row],[PMT NO]]&lt;&gt;"",PaymentSchedule[[#This Row],[TOTAL PAYMENT]]-PaymentSchedule[[#This Row],[INTEREST]],"")</f>
        <v>420.67971263802622</v>
      </c>
      <c r="I93" s="177">
        <f>IF(PaymentSchedule[[#This Row],[PMT NO]]&lt;&gt;"",PaymentSchedule[[#This Row],[BEGINNING BALANCE]]*(InterestRate/PaymentsPerYear),"")</f>
        <v>921.37434489232135</v>
      </c>
      <c r="J9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220709.1630615191</v>
      </c>
      <c r="K93" s="177">
        <f>IF(PaymentSchedule[[#This Row],[PMT NO]]&lt;&gt;"",SUM(INDEX(PaymentSchedule[INTEREST],1,1):PaymentSchedule[[#This Row],[INTEREST]]),"")</f>
        <v>80757.595779007621</v>
      </c>
      <c r="L93" s="178"/>
    </row>
    <row r="94" spans="2:12" x14ac:dyDescent="0.2">
      <c r="B94" s="175">
        <f>IF(LoanIsGood,IF(ROW()-ROW(PaymentSchedule[[#Headers],[PMT NO]])&gt;ScheduledNumberOfPayments,"",ROW()-ROW(PaymentSchedule[[#Headers],[PMT NO]])),"")</f>
        <v>83</v>
      </c>
      <c r="C94" s="176">
        <f>IF(PaymentSchedule[[#This Row],[PMT NO]]&lt;&gt;"",EOMONTH(LoanStartDate,ROW(PaymentSchedule[[#This Row],[PMT NO]])-ROW(PaymentSchedule[[#Headers],[PMT NO]])-2)+DAY(LoanStartDate),"")</f>
        <v>47515</v>
      </c>
      <c r="D94" s="177">
        <f>IF(PaymentSchedule[[#This Row],[PMT NO]]&lt;&gt;"",IF(ROW()-ROW(PaymentSchedule[[#Headers],[BEGINNING BALANCE]])=1,LoanAmount,INDEX(PaymentSchedule[ENDING BALANCE],ROW()-ROW(PaymentSchedule[[#Headers],[BEGINNING BALANCE]])-1)),"")</f>
        <v>220709.1630615191</v>
      </c>
      <c r="E94" s="177">
        <f>IF(PaymentSchedule[[#This Row],[PMT NO]]&lt;&gt;"",ScheduledPayment,"")</f>
        <v>1342.0540575303476</v>
      </c>
      <c r="F9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4" s="177">
        <f>IF(PaymentSchedule[[#This Row],[PMT NO]]&lt;&gt;"",PaymentSchedule[[#This Row],[TOTAL PAYMENT]]-PaymentSchedule[[#This Row],[INTEREST]],"")</f>
        <v>422.43254477401797</v>
      </c>
      <c r="I94" s="177">
        <f>IF(PaymentSchedule[[#This Row],[PMT NO]]&lt;&gt;"",PaymentSchedule[[#This Row],[BEGINNING BALANCE]]*(InterestRate/PaymentsPerYear),"")</f>
        <v>919.62151275632959</v>
      </c>
      <c r="J9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220286.73051674507</v>
      </c>
      <c r="K94" s="177">
        <f>IF(PaymentSchedule[[#This Row],[PMT NO]]&lt;&gt;"",SUM(INDEX(PaymentSchedule[INTEREST],1,1):PaymentSchedule[[#This Row],[INTEREST]]),"")</f>
        <v>81677.217291763955</v>
      </c>
      <c r="L94" s="178"/>
    </row>
    <row r="95" spans="2:12" x14ac:dyDescent="0.2">
      <c r="B95" s="175">
        <f>IF(LoanIsGood,IF(ROW()-ROW(PaymentSchedule[[#Headers],[PMT NO]])&gt;ScheduledNumberOfPayments,"",ROW()-ROW(PaymentSchedule[[#Headers],[PMT NO]])),"")</f>
        <v>84</v>
      </c>
      <c r="C95" s="176">
        <f>IF(PaymentSchedule[[#This Row],[PMT NO]]&lt;&gt;"",EOMONTH(LoanStartDate,ROW(PaymentSchedule[[#This Row],[PMT NO]])-ROW(PaymentSchedule[[#Headers],[PMT NO]])-2)+DAY(LoanStartDate),"")</f>
        <v>47543</v>
      </c>
      <c r="D95" s="177">
        <f>IF(PaymentSchedule[[#This Row],[PMT NO]]&lt;&gt;"",IF(ROW()-ROW(PaymentSchedule[[#Headers],[BEGINNING BALANCE]])=1,LoanAmount,INDEX(PaymentSchedule[ENDING BALANCE],ROW()-ROW(PaymentSchedule[[#Headers],[BEGINNING BALANCE]])-1)),"")</f>
        <v>220286.73051674507</v>
      </c>
      <c r="E95" s="177">
        <f>IF(PaymentSchedule[[#This Row],[PMT NO]]&lt;&gt;"",ScheduledPayment,"")</f>
        <v>1342.0540575303476</v>
      </c>
      <c r="F9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5" s="177">
        <f>IF(PaymentSchedule[[#This Row],[PMT NO]]&lt;&gt;"",PaymentSchedule[[#This Row],[TOTAL PAYMENT]]-PaymentSchedule[[#This Row],[INTEREST]],"")</f>
        <v>424.19268037724316</v>
      </c>
      <c r="I95" s="177">
        <f>IF(PaymentSchedule[[#This Row],[PMT NO]]&lt;&gt;"",PaymentSchedule[[#This Row],[BEGINNING BALANCE]]*(InterestRate/PaymentsPerYear),"")</f>
        <v>917.8613771531044</v>
      </c>
      <c r="J9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219862.53783636782</v>
      </c>
      <c r="K95" s="177">
        <f>IF(PaymentSchedule[[#This Row],[PMT NO]]&lt;&gt;"",SUM(INDEX(PaymentSchedule[INTEREST],1,1):PaymentSchedule[[#This Row],[INTEREST]]),"")</f>
        <v>82595.078668917064</v>
      </c>
      <c r="L95" s="178"/>
    </row>
    <row r="96" spans="2:12" x14ac:dyDescent="0.2">
      <c r="B96" s="175">
        <f>IF(LoanIsGood,IF(ROW()-ROW(PaymentSchedule[[#Headers],[PMT NO]])&gt;ScheduledNumberOfPayments,"",ROW()-ROW(PaymentSchedule[[#Headers],[PMT NO]])),"")</f>
        <v>85</v>
      </c>
      <c r="C96" s="176">
        <f>IF(PaymentSchedule[[#This Row],[PMT NO]]&lt;&gt;"",EOMONTH(LoanStartDate,ROW(PaymentSchedule[[#This Row],[PMT NO]])-ROW(PaymentSchedule[[#Headers],[PMT NO]])-2)+DAY(LoanStartDate),"")</f>
        <v>47574</v>
      </c>
      <c r="D96" s="177">
        <f>IF(PaymentSchedule[[#This Row],[PMT NO]]&lt;&gt;"",IF(ROW()-ROW(PaymentSchedule[[#Headers],[BEGINNING BALANCE]])=1,LoanAmount,INDEX(PaymentSchedule[ENDING BALANCE],ROW()-ROW(PaymentSchedule[[#Headers],[BEGINNING BALANCE]])-1)),"")</f>
        <v>219862.53783636782</v>
      </c>
      <c r="E96" s="177">
        <f>IF(PaymentSchedule[[#This Row],[PMT NO]]&lt;&gt;"",ScheduledPayment,"")</f>
        <v>1342.0540575303476</v>
      </c>
      <c r="F9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6" s="177">
        <f>IF(PaymentSchedule[[#This Row],[PMT NO]]&lt;&gt;"",PaymentSchedule[[#This Row],[TOTAL PAYMENT]]-PaymentSchedule[[#This Row],[INTEREST]],"")</f>
        <v>425.96014987881506</v>
      </c>
      <c r="I96" s="177">
        <f>IF(PaymentSchedule[[#This Row],[PMT NO]]&lt;&gt;"",PaymentSchedule[[#This Row],[BEGINNING BALANCE]]*(InterestRate/PaymentsPerYear),"")</f>
        <v>916.0939076515325</v>
      </c>
      <c r="J9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219436.57768648901</v>
      </c>
      <c r="K96" s="177">
        <f>IF(PaymentSchedule[[#This Row],[PMT NO]]&lt;&gt;"",SUM(INDEX(PaymentSchedule[INTEREST],1,1):PaymentSchedule[[#This Row],[INTEREST]]),"")</f>
        <v>83511.172576568599</v>
      </c>
      <c r="L96" s="178"/>
    </row>
    <row r="97" spans="2:12" x14ac:dyDescent="0.2">
      <c r="B97" s="175">
        <f>IF(LoanIsGood,IF(ROW()-ROW(PaymentSchedule[[#Headers],[PMT NO]])&gt;ScheduledNumberOfPayments,"",ROW()-ROW(PaymentSchedule[[#Headers],[PMT NO]])),"")</f>
        <v>86</v>
      </c>
      <c r="C97" s="176">
        <f>IF(PaymentSchedule[[#This Row],[PMT NO]]&lt;&gt;"",EOMONTH(LoanStartDate,ROW(PaymentSchedule[[#This Row],[PMT NO]])-ROW(PaymentSchedule[[#Headers],[PMT NO]])-2)+DAY(LoanStartDate),"")</f>
        <v>47604</v>
      </c>
      <c r="D97" s="177">
        <f>IF(PaymentSchedule[[#This Row],[PMT NO]]&lt;&gt;"",IF(ROW()-ROW(PaymentSchedule[[#Headers],[BEGINNING BALANCE]])=1,LoanAmount,INDEX(PaymentSchedule[ENDING BALANCE],ROW()-ROW(PaymentSchedule[[#Headers],[BEGINNING BALANCE]])-1)),"")</f>
        <v>219436.57768648901</v>
      </c>
      <c r="E97" s="177">
        <f>IF(PaymentSchedule[[#This Row],[PMT NO]]&lt;&gt;"",ScheduledPayment,"")</f>
        <v>1342.0540575303476</v>
      </c>
      <c r="F9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7" s="177">
        <f>IF(PaymentSchedule[[#This Row],[PMT NO]]&lt;&gt;"",PaymentSchedule[[#This Row],[TOTAL PAYMENT]]-PaymentSchedule[[#This Row],[INTEREST]],"")</f>
        <v>427.73498383664344</v>
      </c>
      <c r="I97" s="177">
        <f>IF(PaymentSchedule[[#This Row],[PMT NO]]&lt;&gt;"",PaymentSchedule[[#This Row],[BEGINNING BALANCE]]*(InterestRate/PaymentsPerYear),"")</f>
        <v>914.31907369370413</v>
      </c>
      <c r="J9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219008.84270265236</v>
      </c>
      <c r="K97" s="177">
        <f>IF(PaymentSchedule[[#This Row],[PMT NO]]&lt;&gt;"",SUM(INDEX(PaymentSchedule[INTEREST],1,1):PaymentSchedule[[#This Row],[INTEREST]]),"")</f>
        <v>84425.491650262309</v>
      </c>
      <c r="L97" s="178"/>
    </row>
    <row r="98" spans="2:12" x14ac:dyDescent="0.2">
      <c r="B98" s="175">
        <f>IF(LoanIsGood,IF(ROW()-ROW(PaymentSchedule[[#Headers],[PMT NO]])&gt;ScheduledNumberOfPayments,"",ROW()-ROW(PaymentSchedule[[#Headers],[PMT NO]])),"")</f>
        <v>87</v>
      </c>
      <c r="C98" s="176">
        <f>IF(PaymentSchedule[[#This Row],[PMT NO]]&lt;&gt;"",EOMONTH(LoanStartDate,ROW(PaymentSchedule[[#This Row],[PMT NO]])-ROW(PaymentSchedule[[#Headers],[PMT NO]])-2)+DAY(LoanStartDate),"")</f>
        <v>47635</v>
      </c>
      <c r="D98" s="177">
        <f>IF(PaymentSchedule[[#This Row],[PMT NO]]&lt;&gt;"",IF(ROW()-ROW(PaymentSchedule[[#Headers],[BEGINNING BALANCE]])=1,LoanAmount,INDEX(PaymentSchedule[ENDING BALANCE],ROW()-ROW(PaymentSchedule[[#Headers],[BEGINNING BALANCE]])-1)),"")</f>
        <v>219008.84270265236</v>
      </c>
      <c r="E98" s="177">
        <f>IF(PaymentSchedule[[#This Row],[PMT NO]]&lt;&gt;"",ScheduledPayment,"")</f>
        <v>1342.0540575303476</v>
      </c>
      <c r="F9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8" s="177">
        <f>IF(PaymentSchedule[[#This Row],[PMT NO]]&lt;&gt;"",PaymentSchedule[[#This Row],[TOTAL PAYMENT]]-PaymentSchedule[[#This Row],[INTEREST]],"")</f>
        <v>429.51721293596279</v>
      </c>
      <c r="I98" s="177">
        <f>IF(PaymentSchedule[[#This Row],[PMT NO]]&lt;&gt;"",PaymentSchedule[[#This Row],[BEGINNING BALANCE]]*(InterestRate/PaymentsPerYear),"")</f>
        <v>912.53684459438477</v>
      </c>
      <c r="J9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218579.3254897164</v>
      </c>
      <c r="K98" s="177">
        <f>IF(PaymentSchedule[[#This Row],[PMT NO]]&lt;&gt;"",SUM(INDEX(PaymentSchedule[INTEREST],1,1):PaymentSchedule[[#This Row],[INTEREST]]),"")</f>
        <v>85338.028494856699</v>
      </c>
      <c r="L98" s="178"/>
    </row>
    <row r="99" spans="2:12" x14ac:dyDescent="0.2">
      <c r="B99" s="175">
        <f>IF(LoanIsGood,IF(ROW()-ROW(PaymentSchedule[[#Headers],[PMT NO]])&gt;ScheduledNumberOfPayments,"",ROW()-ROW(PaymentSchedule[[#Headers],[PMT NO]])),"")</f>
        <v>88</v>
      </c>
      <c r="C99" s="176">
        <f>IF(PaymentSchedule[[#This Row],[PMT NO]]&lt;&gt;"",EOMONTH(LoanStartDate,ROW(PaymentSchedule[[#This Row],[PMT NO]])-ROW(PaymentSchedule[[#Headers],[PMT NO]])-2)+DAY(LoanStartDate),"")</f>
        <v>47665</v>
      </c>
      <c r="D99" s="177">
        <f>IF(PaymentSchedule[[#This Row],[PMT NO]]&lt;&gt;"",IF(ROW()-ROW(PaymentSchedule[[#Headers],[BEGINNING BALANCE]])=1,LoanAmount,INDEX(PaymentSchedule[ENDING BALANCE],ROW()-ROW(PaymentSchedule[[#Headers],[BEGINNING BALANCE]])-1)),"")</f>
        <v>218579.3254897164</v>
      </c>
      <c r="E99" s="177">
        <f>IF(PaymentSchedule[[#This Row],[PMT NO]]&lt;&gt;"",ScheduledPayment,"")</f>
        <v>1342.0540575303476</v>
      </c>
      <c r="F9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99" s="177">
        <f>IF(PaymentSchedule[[#This Row],[PMT NO]]&lt;&gt;"",PaymentSchedule[[#This Row],[TOTAL PAYMENT]]-PaymentSchedule[[#This Row],[INTEREST]],"")</f>
        <v>431.30686798986255</v>
      </c>
      <c r="I99" s="177">
        <f>IF(PaymentSchedule[[#This Row],[PMT NO]]&lt;&gt;"",PaymentSchedule[[#This Row],[BEGINNING BALANCE]]*(InterestRate/PaymentsPerYear),"")</f>
        <v>910.74718954048501</v>
      </c>
      <c r="J9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218148.01862172654</v>
      </c>
      <c r="K99" s="177">
        <f>IF(PaymentSchedule[[#This Row],[PMT NO]]&lt;&gt;"",SUM(INDEX(PaymentSchedule[INTEREST],1,1):PaymentSchedule[[#This Row],[INTEREST]]),"")</f>
        <v>86248.775684397187</v>
      </c>
      <c r="L99" s="178"/>
    </row>
    <row r="100" spans="2:12" x14ac:dyDescent="0.2">
      <c r="B100" s="175">
        <f>IF(LoanIsGood,IF(ROW()-ROW(PaymentSchedule[[#Headers],[PMT NO]])&gt;ScheduledNumberOfPayments,"",ROW()-ROW(PaymentSchedule[[#Headers],[PMT NO]])),"")</f>
        <v>89</v>
      </c>
      <c r="C100" s="176">
        <f>IF(PaymentSchedule[[#This Row],[PMT NO]]&lt;&gt;"",EOMONTH(LoanStartDate,ROW(PaymentSchedule[[#This Row],[PMT NO]])-ROW(PaymentSchedule[[#Headers],[PMT NO]])-2)+DAY(LoanStartDate),"")</f>
        <v>47696</v>
      </c>
      <c r="D100" s="177">
        <f>IF(PaymentSchedule[[#This Row],[PMT NO]]&lt;&gt;"",IF(ROW()-ROW(PaymentSchedule[[#Headers],[BEGINNING BALANCE]])=1,LoanAmount,INDEX(PaymentSchedule[ENDING BALANCE],ROW()-ROW(PaymentSchedule[[#Headers],[BEGINNING BALANCE]])-1)),"")</f>
        <v>218148.01862172654</v>
      </c>
      <c r="E100" s="177">
        <f>IF(PaymentSchedule[[#This Row],[PMT NO]]&lt;&gt;"",ScheduledPayment,"")</f>
        <v>1342.0540575303476</v>
      </c>
      <c r="F10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0" s="177">
        <f>IF(PaymentSchedule[[#This Row],[PMT NO]]&lt;&gt;"",PaymentSchedule[[#This Row],[TOTAL PAYMENT]]-PaymentSchedule[[#This Row],[INTEREST]],"")</f>
        <v>433.10397993982031</v>
      </c>
      <c r="I100" s="177">
        <f>IF(PaymentSchedule[[#This Row],[PMT NO]]&lt;&gt;"",PaymentSchedule[[#This Row],[BEGINNING BALANCE]]*(InterestRate/PaymentsPerYear),"")</f>
        <v>908.95007759052726</v>
      </c>
      <c r="J10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217714.91464178672</v>
      </c>
      <c r="K100" s="177">
        <f>IF(PaymentSchedule[[#This Row],[PMT NO]]&lt;&gt;"",SUM(INDEX(PaymentSchedule[INTEREST],1,1):PaymentSchedule[[#This Row],[INTEREST]]),"")</f>
        <v>87157.72576198772</v>
      </c>
      <c r="L100" s="178"/>
    </row>
    <row r="101" spans="2:12" x14ac:dyDescent="0.2">
      <c r="B101" s="175">
        <f>IF(LoanIsGood,IF(ROW()-ROW(PaymentSchedule[[#Headers],[PMT NO]])&gt;ScheduledNumberOfPayments,"",ROW()-ROW(PaymentSchedule[[#Headers],[PMT NO]])),"")</f>
        <v>90</v>
      </c>
      <c r="C101" s="176">
        <f>IF(PaymentSchedule[[#This Row],[PMT NO]]&lt;&gt;"",EOMONTH(LoanStartDate,ROW(PaymentSchedule[[#This Row],[PMT NO]])-ROW(PaymentSchedule[[#Headers],[PMT NO]])-2)+DAY(LoanStartDate),"")</f>
        <v>47727</v>
      </c>
      <c r="D101" s="177">
        <f>IF(PaymentSchedule[[#This Row],[PMT NO]]&lt;&gt;"",IF(ROW()-ROW(PaymentSchedule[[#Headers],[BEGINNING BALANCE]])=1,LoanAmount,INDEX(PaymentSchedule[ENDING BALANCE],ROW()-ROW(PaymentSchedule[[#Headers],[BEGINNING BALANCE]])-1)),"")</f>
        <v>217714.91464178672</v>
      </c>
      <c r="E101" s="177">
        <f>IF(PaymentSchedule[[#This Row],[PMT NO]]&lt;&gt;"",ScheduledPayment,"")</f>
        <v>1342.0540575303476</v>
      </c>
      <c r="F10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1" s="177">
        <f>IF(PaymentSchedule[[#This Row],[PMT NO]]&lt;&gt;"",PaymentSchedule[[#This Row],[TOTAL PAYMENT]]-PaymentSchedule[[#This Row],[INTEREST]],"")</f>
        <v>434.90857985623632</v>
      </c>
      <c r="I101" s="177">
        <f>IF(PaymentSchedule[[#This Row],[PMT NO]]&lt;&gt;"",PaymentSchedule[[#This Row],[BEGINNING BALANCE]]*(InterestRate/PaymentsPerYear),"")</f>
        <v>907.14547767411125</v>
      </c>
      <c r="J10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217280.00606193047</v>
      </c>
      <c r="K101" s="177">
        <f>IF(PaymentSchedule[[#This Row],[PMT NO]]&lt;&gt;"",SUM(INDEX(PaymentSchedule[INTEREST],1,1):PaymentSchedule[[#This Row],[INTEREST]]),"")</f>
        <v>88064.871239661836</v>
      </c>
      <c r="L101" s="178"/>
    </row>
    <row r="102" spans="2:12" x14ac:dyDescent="0.2">
      <c r="B102" s="175">
        <f>IF(LoanIsGood,IF(ROW()-ROW(PaymentSchedule[[#Headers],[PMT NO]])&gt;ScheduledNumberOfPayments,"",ROW()-ROW(PaymentSchedule[[#Headers],[PMT NO]])),"")</f>
        <v>91</v>
      </c>
      <c r="C102" s="176">
        <f>IF(PaymentSchedule[[#This Row],[PMT NO]]&lt;&gt;"",EOMONTH(LoanStartDate,ROW(PaymentSchedule[[#This Row],[PMT NO]])-ROW(PaymentSchedule[[#Headers],[PMT NO]])-2)+DAY(LoanStartDate),"")</f>
        <v>47757</v>
      </c>
      <c r="D102" s="177">
        <f>IF(PaymentSchedule[[#This Row],[PMT NO]]&lt;&gt;"",IF(ROW()-ROW(PaymentSchedule[[#Headers],[BEGINNING BALANCE]])=1,LoanAmount,INDEX(PaymentSchedule[ENDING BALANCE],ROW()-ROW(PaymentSchedule[[#Headers],[BEGINNING BALANCE]])-1)),"")</f>
        <v>217280.00606193047</v>
      </c>
      <c r="E102" s="177">
        <f>IF(PaymentSchedule[[#This Row],[PMT NO]]&lt;&gt;"",ScheduledPayment,"")</f>
        <v>1342.0540575303476</v>
      </c>
      <c r="F10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2" s="177">
        <f>IF(PaymentSchedule[[#This Row],[PMT NO]]&lt;&gt;"",PaymentSchedule[[#This Row],[TOTAL PAYMENT]]-PaymentSchedule[[#This Row],[INTEREST]],"")</f>
        <v>436.7206989389706</v>
      </c>
      <c r="I102" s="177">
        <f>IF(PaymentSchedule[[#This Row],[PMT NO]]&lt;&gt;"",PaymentSchedule[[#This Row],[BEGINNING BALANCE]]*(InterestRate/PaymentsPerYear),"")</f>
        <v>905.33335859137696</v>
      </c>
      <c r="J10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216843.2853629915</v>
      </c>
      <c r="K102" s="177">
        <f>IF(PaymentSchedule[[#This Row],[PMT NO]]&lt;&gt;"",SUM(INDEX(PaymentSchedule[INTEREST],1,1):PaymentSchedule[[#This Row],[INTEREST]]),"")</f>
        <v>88970.204598253214</v>
      </c>
      <c r="L102" s="178"/>
    </row>
    <row r="103" spans="2:12" x14ac:dyDescent="0.2">
      <c r="B103" s="175">
        <f>IF(LoanIsGood,IF(ROW()-ROW(PaymentSchedule[[#Headers],[PMT NO]])&gt;ScheduledNumberOfPayments,"",ROW()-ROW(PaymentSchedule[[#Headers],[PMT NO]])),"")</f>
        <v>92</v>
      </c>
      <c r="C103" s="176">
        <f>IF(PaymentSchedule[[#This Row],[PMT NO]]&lt;&gt;"",EOMONTH(LoanStartDate,ROW(PaymentSchedule[[#This Row],[PMT NO]])-ROW(PaymentSchedule[[#Headers],[PMT NO]])-2)+DAY(LoanStartDate),"")</f>
        <v>47788</v>
      </c>
      <c r="D103" s="177">
        <f>IF(PaymentSchedule[[#This Row],[PMT NO]]&lt;&gt;"",IF(ROW()-ROW(PaymentSchedule[[#Headers],[BEGINNING BALANCE]])=1,LoanAmount,INDEX(PaymentSchedule[ENDING BALANCE],ROW()-ROW(PaymentSchedule[[#Headers],[BEGINNING BALANCE]])-1)),"")</f>
        <v>216843.2853629915</v>
      </c>
      <c r="E103" s="177">
        <f>IF(PaymentSchedule[[#This Row],[PMT NO]]&lt;&gt;"",ScheduledPayment,"")</f>
        <v>1342.0540575303476</v>
      </c>
      <c r="F10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3" s="177">
        <f>IF(PaymentSchedule[[#This Row],[PMT NO]]&lt;&gt;"",PaymentSchedule[[#This Row],[TOTAL PAYMENT]]-PaymentSchedule[[#This Row],[INTEREST]],"")</f>
        <v>438.54036851788294</v>
      </c>
      <c r="I103" s="177">
        <f>IF(PaymentSchedule[[#This Row],[PMT NO]]&lt;&gt;"",PaymentSchedule[[#This Row],[BEGINNING BALANCE]]*(InterestRate/PaymentsPerYear),"")</f>
        <v>903.51368901246462</v>
      </c>
      <c r="J10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216404.74499447361</v>
      </c>
      <c r="K103" s="177">
        <f>IF(PaymentSchedule[[#This Row],[PMT NO]]&lt;&gt;"",SUM(INDEX(PaymentSchedule[INTEREST],1,1):PaymentSchedule[[#This Row],[INTEREST]]),"")</f>
        <v>89873.718287265685</v>
      </c>
      <c r="L103" s="178"/>
    </row>
    <row r="104" spans="2:12" x14ac:dyDescent="0.2">
      <c r="B104" s="175">
        <f>IF(LoanIsGood,IF(ROW()-ROW(PaymentSchedule[[#Headers],[PMT NO]])&gt;ScheduledNumberOfPayments,"",ROW()-ROW(PaymentSchedule[[#Headers],[PMT NO]])),"")</f>
        <v>93</v>
      </c>
      <c r="C104" s="176">
        <f>IF(PaymentSchedule[[#This Row],[PMT NO]]&lt;&gt;"",EOMONTH(LoanStartDate,ROW(PaymentSchedule[[#This Row],[PMT NO]])-ROW(PaymentSchedule[[#Headers],[PMT NO]])-2)+DAY(LoanStartDate),"")</f>
        <v>47818</v>
      </c>
      <c r="D104" s="177">
        <f>IF(PaymentSchedule[[#This Row],[PMT NO]]&lt;&gt;"",IF(ROW()-ROW(PaymentSchedule[[#Headers],[BEGINNING BALANCE]])=1,LoanAmount,INDEX(PaymentSchedule[ENDING BALANCE],ROW()-ROW(PaymentSchedule[[#Headers],[BEGINNING BALANCE]])-1)),"")</f>
        <v>216404.74499447361</v>
      </c>
      <c r="E104" s="177">
        <f>IF(PaymentSchedule[[#This Row],[PMT NO]]&lt;&gt;"",ScheduledPayment,"")</f>
        <v>1342.0540575303476</v>
      </c>
      <c r="F10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4" s="177">
        <f>IF(PaymentSchedule[[#This Row],[PMT NO]]&lt;&gt;"",PaymentSchedule[[#This Row],[TOTAL PAYMENT]]-PaymentSchedule[[#This Row],[INTEREST]],"")</f>
        <v>440.36762005337414</v>
      </c>
      <c r="I104" s="177">
        <f>IF(PaymentSchedule[[#This Row],[PMT NO]]&lt;&gt;"",PaymentSchedule[[#This Row],[BEGINNING BALANCE]]*(InterestRate/PaymentsPerYear),"")</f>
        <v>901.68643747697342</v>
      </c>
      <c r="J10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215964.37737442023</v>
      </c>
      <c r="K104" s="177">
        <f>IF(PaymentSchedule[[#This Row],[PMT NO]]&lt;&gt;"",SUM(INDEX(PaymentSchedule[INTEREST],1,1):PaymentSchedule[[#This Row],[INTEREST]]),"")</f>
        <v>90775.404724742664</v>
      </c>
      <c r="L104" s="178"/>
    </row>
    <row r="105" spans="2:12" x14ac:dyDescent="0.2">
      <c r="B105" s="175">
        <f>IF(LoanIsGood,IF(ROW()-ROW(PaymentSchedule[[#Headers],[PMT NO]])&gt;ScheduledNumberOfPayments,"",ROW()-ROW(PaymentSchedule[[#Headers],[PMT NO]])),"")</f>
        <v>94</v>
      </c>
      <c r="C105" s="176">
        <f>IF(PaymentSchedule[[#This Row],[PMT NO]]&lt;&gt;"",EOMONTH(LoanStartDate,ROW(PaymentSchedule[[#This Row],[PMT NO]])-ROW(PaymentSchedule[[#Headers],[PMT NO]])-2)+DAY(LoanStartDate),"")</f>
        <v>47849</v>
      </c>
      <c r="D105" s="177">
        <f>IF(PaymentSchedule[[#This Row],[PMT NO]]&lt;&gt;"",IF(ROW()-ROW(PaymentSchedule[[#Headers],[BEGINNING BALANCE]])=1,LoanAmount,INDEX(PaymentSchedule[ENDING BALANCE],ROW()-ROW(PaymentSchedule[[#Headers],[BEGINNING BALANCE]])-1)),"")</f>
        <v>215964.37737442023</v>
      </c>
      <c r="E105" s="177">
        <f>IF(PaymentSchedule[[#This Row],[PMT NO]]&lt;&gt;"",ScheduledPayment,"")</f>
        <v>1342.0540575303476</v>
      </c>
      <c r="F10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5" s="177">
        <f>IF(PaymentSchedule[[#This Row],[PMT NO]]&lt;&gt;"",PaymentSchedule[[#This Row],[TOTAL PAYMENT]]-PaymentSchedule[[#This Row],[INTEREST]],"")</f>
        <v>442.20248513692991</v>
      </c>
      <c r="I105" s="177">
        <f>IF(PaymentSchedule[[#This Row],[PMT NO]]&lt;&gt;"",PaymentSchedule[[#This Row],[BEGINNING BALANCE]]*(InterestRate/PaymentsPerYear),"")</f>
        <v>899.85157239341765</v>
      </c>
      <c r="J10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215522.17488928331</v>
      </c>
      <c r="K105" s="177">
        <f>IF(PaymentSchedule[[#This Row],[PMT NO]]&lt;&gt;"",SUM(INDEX(PaymentSchedule[INTEREST],1,1):PaymentSchedule[[#This Row],[INTEREST]]),"")</f>
        <v>91675.256297136075</v>
      </c>
      <c r="L105" s="178"/>
    </row>
    <row r="106" spans="2:12" x14ac:dyDescent="0.2">
      <c r="B106" s="175">
        <f>IF(LoanIsGood,IF(ROW()-ROW(PaymentSchedule[[#Headers],[PMT NO]])&gt;ScheduledNumberOfPayments,"",ROW()-ROW(PaymentSchedule[[#Headers],[PMT NO]])),"")</f>
        <v>95</v>
      </c>
      <c r="C106" s="176">
        <f>IF(PaymentSchedule[[#This Row],[PMT NO]]&lt;&gt;"",EOMONTH(LoanStartDate,ROW(PaymentSchedule[[#This Row],[PMT NO]])-ROW(PaymentSchedule[[#Headers],[PMT NO]])-2)+DAY(LoanStartDate),"")</f>
        <v>47880</v>
      </c>
      <c r="D106" s="177">
        <f>IF(PaymentSchedule[[#This Row],[PMT NO]]&lt;&gt;"",IF(ROW()-ROW(PaymentSchedule[[#Headers],[BEGINNING BALANCE]])=1,LoanAmount,INDEX(PaymentSchedule[ENDING BALANCE],ROW()-ROW(PaymentSchedule[[#Headers],[BEGINNING BALANCE]])-1)),"")</f>
        <v>215522.17488928331</v>
      </c>
      <c r="E106" s="177">
        <f>IF(PaymentSchedule[[#This Row],[PMT NO]]&lt;&gt;"",ScheduledPayment,"")</f>
        <v>1342.0540575303476</v>
      </c>
      <c r="F10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6" s="177">
        <f>IF(PaymentSchedule[[#This Row],[PMT NO]]&lt;&gt;"",PaymentSchedule[[#This Row],[TOTAL PAYMENT]]-PaymentSchedule[[#This Row],[INTEREST]],"")</f>
        <v>444.04499549166712</v>
      </c>
      <c r="I106" s="177">
        <f>IF(PaymentSchedule[[#This Row],[PMT NO]]&lt;&gt;"",PaymentSchedule[[#This Row],[BEGINNING BALANCE]]*(InterestRate/PaymentsPerYear),"")</f>
        <v>898.00906203868044</v>
      </c>
      <c r="J10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215078.12989379166</v>
      </c>
      <c r="K106" s="177">
        <f>IF(PaymentSchedule[[#This Row],[PMT NO]]&lt;&gt;"",SUM(INDEX(PaymentSchedule[INTEREST],1,1):PaymentSchedule[[#This Row],[INTEREST]]),"")</f>
        <v>92573.265359174751</v>
      </c>
      <c r="L106" s="178"/>
    </row>
    <row r="107" spans="2:12" x14ac:dyDescent="0.2">
      <c r="B107" s="175">
        <f>IF(LoanIsGood,IF(ROW()-ROW(PaymentSchedule[[#Headers],[PMT NO]])&gt;ScheduledNumberOfPayments,"",ROW()-ROW(PaymentSchedule[[#Headers],[PMT NO]])),"")</f>
        <v>96</v>
      </c>
      <c r="C107" s="176">
        <f>IF(PaymentSchedule[[#This Row],[PMT NO]]&lt;&gt;"",EOMONTH(LoanStartDate,ROW(PaymentSchedule[[#This Row],[PMT NO]])-ROW(PaymentSchedule[[#Headers],[PMT NO]])-2)+DAY(LoanStartDate),"")</f>
        <v>47908</v>
      </c>
      <c r="D107" s="177">
        <f>IF(PaymentSchedule[[#This Row],[PMT NO]]&lt;&gt;"",IF(ROW()-ROW(PaymentSchedule[[#Headers],[BEGINNING BALANCE]])=1,LoanAmount,INDEX(PaymentSchedule[ENDING BALANCE],ROW()-ROW(PaymentSchedule[[#Headers],[BEGINNING BALANCE]])-1)),"")</f>
        <v>215078.12989379166</v>
      </c>
      <c r="E107" s="177">
        <f>IF(PaymentSchedule[[#This Row],[PMT NO]]&lt;&gt;"",ScheduledPayment,"")</f>
        <v>1342.0540575303476</v>
      </c>
      <c r="F10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7" s="177">
        <f>IF(PaymentSchedule[[#This Row],[PMT NO]]&lt;&gt;"",PaymentSchedule[[#This Row],[TOTAL PAYMENT]]-PaymentSchedule[[#This Row],[INTEREST]],"")</f>
        <v>445.89518297288237</v>
      </c>
      <c r="I107" s="177">
        <f>IF(PaymentSchedule[[#This Row],[PMT NO]]&lt;&gt;"",PaymentSchedule[[#This Row],[BEGINNING BALANCE]]*(InterestRate/PaymentsPerYear),"")</f>
        <v>896.1588745574652</v>
      </c>
      <c r="J10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214632.23471081877</v>
      </c>
      <c r="K107" s="177">
        <f>IF(PaymentSchedule[[#This Row],[PMT NO]]&lt;&gt;"",SUM(INDEX(PaymentSchedule[INTEREST],1,1):PaymentSchedule[[#This Row],[INTEREST]]),"")</f>
        <v>93469.424233732221</v>
      </c>
      <c r="L107" s="178"/>
    </row>
    <row r="108" spans="2:12" x14ac:dyDescent="0.2">
      <c r="B108" s="175">
        <f>IF(LoanIsGood,IF(ROW()-ROW(PaymentSchedule[[#Headers],[PMT NO]])&gt;ScheduledNumberOfPayments,"",ROW()-ROW(PaymentSchedule[[#Headers],[PMT NO]])),"")</f>
        <v>97</v>
      </c>
      <c r="C108" s="176">
        <f>IF(PaymentSchedule[[#This Row],[PMT NO]]&lt;&gt;"",EOMONTH(LoanStartDate,ROW(PaymentSchedule[[#This Row],[PMT NO]])-ROW(PaymentSchedule[[#Headers],[PMT NO]])-2)+DAY(LoanStartDate),"")</f>
        <v>47939</v>
      </c>
      <c r="D108" s="177">
        <f>IF(PaymentSchedule[[#This Row],[PMT NO]]&lt;&gt;"",IF(ROW()-ROW(PaymentSchedule[[#Headers],[BEGINNING BALANCE]])=1,LoanAmount,INDEX(PaymentSchedule[ENDING BALANCE],ROW()-ROW(PaymentSchedule[[#Headers],[BEGINNING BALANCE]])-1)),"")</f>
        <v>214632.23471081877</v>
      </c>
      <c r="E108" s="177">
        <f>IF(PaymentSchedule[[#This Row],[PMT NO]]&lt;&gt;"",ScheduledPayment,"")</f>
        <v>1342.0540575303476</v>
      </c>
      <c r="F10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8" s="177">
        <f>IF(PaymentSchedule[[#This Row],[PMT NO]]&lt;&gt;"",PaymentSchedule[[#This Row],[TOTAL PAYMENT]]-PaymentSchedule[[#This Row],[INTEREST]],"")</f>
        <v>447.75307956860274</v>
      </c>
      <c r="I108" s="177">
        <f>IF(PaymentSchedule[[#This Row],[PMT NO]]&lt;&gt;"",PaymentSchedule[[#This Row],[BEGINNING BALANCE]]*(InterestRate/PaymentsPerYear),"")</f>
        <v>894.30097796174482</v>
      </c>
      <c r="J10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214184.48163125018</v>
      </c>
      <c r="K108" s="177">
        <f>IF(PaymentSchedule[[#This Row],[PMT NO]]&lt;&gt;"",SUM(INDEX(PaymentSchedule[INTEREST],1,1):PaymentSchedule[[#This Row],[INTEREST]]),"")</f>
        <v>94363.725211693964</v>
      </c>
      <c r="L108" s="178"/>
    </row>
    <row r="109" spans="2:12" x14ac:dyDescent="0.2">
      <c r="B109" s="175">
        <f>IF(LoanIsGood,IF(ROW()-ROW(PaymentSchedule[[#Headers],[PMT NO]])&gt;ScheduledNumberOfPayments,"",ROW()-ROW(PaymentSchedule[[#Headers],[PMT NO]])),"")</f>
        <v>98</v>
      </c>
      <c r="C109" s="176">
        <f>IF(PaymentSchedule[[#This Row],[PMT NO]]&lt;&gt;"",EOMONTH(LoanStartDate,ROW(PaymentSchedule[[#This Row],[PMT NO]])-ROW(PaymentSchedule[[#Headers],[PMT NO]])-2)+DAY(LoanStartDate),"")</f>
        <v>47969</v>
      </c>
      <c r="D109" s="177">
        <f>IF(PaymentSchedule[[#This Row],[PMT NO]]&lt;&gt;"",IF(ROW()-ROW(PaymentSchedule[[#Headers],[BEGINNING BALANCE]])=1,LoanAmount,INDEX(PaymentSchedule[ENDING BALANCE],ROW()-ROW(PaymentSchedule[[#Headers],[BEGINNING BALANCE]])-1)),"")</f>
        <v>214184.48163125018</v>
      </c>
      <c r="E109" s="177">
        <f>IF(PaymentSchedule[[#This Row],[PMT NO]]&lt;&gt;"",ScheduledPayment,"")</f>
        <v>1342.0540575303476</v>
      </c>
      <c r="F10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09" s="177">
        <f>IF(PaymentSchedule[[#This Row],[PMT NO]]&lt;&gt;"",PaymentSchedule[[#This Row],[TOTAL PAYMENT]]-PaymentSchedule[[#This Row],[INTEREST]],"")</f>
        <v>449.61871740013851</v>
      </c>
      <c r="I109" s="177">
        <f>IF(PaymentSchedule[[#This Row],[PMT NO]]&lt;&gt;"",PaymentSchedule[[#This Row],[BEGINNING BALANCE]]*(InterestRate/PaymentsPerYear),"")</f>
        <v>892.43534013020906</v>
      </c>
      <c r="J10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213734.86291385005</v>
      </c>
      <c r="K109" s="177">
        <f>IF(PaymentSchedule[[#This Row],[PMT NO]]&lt;&gt;"",SUM(INDEX(PaymentSchedule[INTEREST],1,1):PaymentSchedule[[#This Row],[INTEREST]]),"")</f>
        <v>95256.16055182417</v>
      </c>
      <c r="L109" s="178"/>
    </row>
    <row r="110" spans="2:12" x14ac:dyDescent="0.2">
      <c r="B110" s="175">
        <f>IF(LoanIsGood,IF(ROW()-ROW(PaymentSchedule[[#Headers],[PMT NO]])&gt;ScheduledNumberOfPayments,"",ROW()-ROW(PaymentSchedule[[#Headers],[PMT NO]])),"")</f>
        <v>99</v>
      </c>
      <c r="C110" s="176">
        <f>IF(PaymentSchedule[[#This Row],[PMT NO]]&lt;&gt;"",EOMONTH(LoanStartDate,ROW(PaymentSchedule[[#This Row],[PMT NO]])-ROW(PaymentSchedule[[#Headers],[PMT NO]])-2)+DAY(LoanStartDate),"")</f>
        <v>48000</v>
      </c>
      <c r="D110" s="177">
        <f>IF(PaymentSchedule[[#This Row],[PMT NO]]&lt;&gt;"",IF(ROW()-ROW(PaymentSchedule[[#Headers],[BEGINNING BALANCE]])=1,LoanAmount,INDEX(PaymentSchedule[ENDING BALANCE],ROW()-ROW(PaymentSchedule[[#Headers],[BEGINNING BALANCE]])-1)),"")</f>
        <v>213734.86291385005</v>
      </c>
      <c r="E110" s="177">
        <f>IF(PaymentSchedule[[#This Row],[PMT NO]]&lt;&gt;"",ScheduledPayment,"")</f>
        <v>1342.0540575303476</v>
      </c>
      <c r="F11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0" s="177">
        <f>IF(PaymentSchedule[[#This Row],[PMT NO]]&lt;&gt;"",PaymentSchedule[[#This Row],[TOTAL PAYMENT]]-PaymentSchedule[[#This Row],[INTEREST]],"")</f>
        <v>451.49212872263899</v>
      </c>
      <c r="I110" s="177">
        <f>IF(PaymentSchedule[[#This Row],[PMT NO]]&lt;&gt;"",PaymentSchedule[[#This Row],[BEGINNING BALANCE]]*(InterestRate/PaymentsPerYear),"")</f>
        <v>890.56192880770857</v>
      </c>
      <c r="J11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213283.37078512742</v>
      </c>
      <c r="K110" s="177">
        <f>IF(PaymentSchedule[[#This Row],[PMT NO]]&lt;&gt;"",SUM(INDEX(PaymentSchedule[INTEREST],1,1):PaymentSchedule[[#This Row],[INTEREST]]),"")</f>
        <v>96146.722480631885</v>
      </c>
      <c r="L110" s="178"/>
    </row>
    <row r="111" spans="2:12" x14ac:dyDescent="0.2">
      <c r="B111" s="175">
        <f>IF(LoanIsGood,IF(ROW()-ROW(PaymentSchedule[[#Headers],[PMT NO]])&gt;ScheduledNumberOfPayments,"",ROW()-ROW(PaymentSchedule[[#Headers],[PMT NO]])),"")</f>
        <v>100</v>
      </c>
      <c r="C111" s="176">
        <f>IF(PaymentSchedule[[#This Row],[PMT NO]]&lt;&gt;"",EOMONTH(LoanStartDate,ROW(PaymentSchedule[[#This Row],[PMT NO]])-ROW(PaymentSchedule[[#Headers],[PMT NO]])-2)+DAY(LoanStartDate),"")</f>
        <v>48030</v>
      </c>
      <c r="D111" s="177">
        <f>IF(PaymentSchedule[[#This Row],[PMT NO]]&lt;&gt;"",IF(ROW()-ROW(PaymentSchedule[[#Headers],[BEGINNING BALANCE]])=1,LoanAmount,INDEX(PaymentSchedule[ENDING BALANCE],ROW()-ROW(PaymentSchedule[[#Headers],[BEGINNING BALANCE]])-1)),"")</f>
        <v>213283.37078512742</v>
      </c>
      <c r="E111" s="177">
        <f>IF(PaymentSchedule[[#This Row],[PMT NO]]&lt;&gt;"",ScheduledPayment,"")</f>
        <v>1342.0540575303476</v>
      </c>
      <c r="F11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1" s="177">
        <f>IF(PaymentSchedule[[#This Row],[PMT NO]]&lt;&gt;"",PaymentSchedule[[#This Row],[TOTAL PAYMENT]]-PaymentSchedule[[#This Row],[INTEREST]],"")</f>
        <v>453.37334592565003</v>
      </c>
      <c r="I111" s="177">
        <f>IF(PaymentSchedule[[#This Row],[PMT NO]]&lt;&gt;"",PaymentSchedule[[#This Row],[BEGINNING BALANCE]]*(InterestRate/PaymentsPerYear),"")</f>
        <v>888.68071160469754</v>
      </c>
      <c r="J11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212829.99743920178</v>
      </c>
      <c r="K111" s="177">
        <f>IF(PaymentSchedule[[#This Row],[PMT NO]]&lt;&gt;"",SUM(INDEX(PaymentSchedule[INTEREST],1,1):PaymentSchedule[[#This Row],[INTEREST]]),"")</f>
        <v>97035.403192236583</v>
      </c>
      <c r="L111" s="178"/>
    </row>
    <row r="112" spans="2:12" x14ac:dyDescent="0.2">
      <c r="B112" s="175">
        <f>IF(LoanIsGood,IF(ROW()-ROW(PaymentSchedule[[#Headers],[PMT NO]])&gt;ScheduledNumberOfPayments,"",ROW()-ROW(PaymentSchedule[[#Headers],[PMT NO]])),"")</f>
        <v>101</v>
      </c>
      <c r="C112" s="176">
        <f>IF(PaymentSchedule[[#This Row],[PMT NO]]&lt;&gt;"",EOMONTH(LoanStartDate,ROW(PaymentSchedule[[#This Row],[PMT NO]])-ROW(PaymentSchedule[[#Headers],[PMT NO]])-2)+DAY(LoanStartDate),"")</f>
        <v>48061</v>
      </c>
      <c r="D112" s="177">
        <f>IF(PaymentSchedule[[#This Row],[PMT NO]]&lt;&gt;"",IF(ROW()-ROW(PaymentSchedule[[#Headers],[BEGINNING BALANCE]])=1,LoanAmount,INDEX(PaymentSchedule[ENDING BALANCE],ROW()-ROW(PaymentSchedule[[#Headers],[BEGINNING BALANCE]])-1)),"")</f>
        <v>212829.99743920178</v>
      </c>
      <c r="E112" s="177">
        <f>IF(PaymentSchedule[[#This Row],[PMT NO]]&lt;&gt;"",ScheduledPayment,"")</f>
        <v>1342.0540575303476</v>
      </c>
      <c r="F11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2" s="177">
        <f>IF(PaymentSchedule[[#This Row],[PMT NO]]&lt;&gt;"",PaymentSchedule[[#This Row],[TOTAL PAYMENT]]-PaymentSchedule[[#This Row],[INTEREST]],"")</f>
        <v>455.26240153367348</v>
      </c>
      <c r="I112" s="177">
        <f>IF(PaymentSchedule[[#This Row],[PMT NO]]&lt;&gt;"",PaymentSchedule[[#This Row],[BEGINNING BALANCE]]*(InterestRate/PaymentsPerYear),"")</f>
        <v>886.79165599667408</v>
      </c>
      <c r="J11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212374.73503766811</v>
      </c>
      <c r="K112" s="177">
        <f>IF(PaymentSchedule[[#This Row],[PMT NO]]&lt;&gt;"",SUM(INDEX(PaymentSchedule[INTEREST],1,1):PaymentSchedule[[#This Row],[INTEREST]]),"")</f>
        <v>97922.194848233252</v>
      </c>
      <c r="L112" s="178"/>
    </row>
    <row r="113" spans="2:12" x14ac:dyDescent="0.2">
      <c r="B113" s="175">
        <f>IF(LoanIsGood,IF(ROW()-ROW(PaymentSchedule[[#Headers],[PMT NO]])&gt;ScheduledNumberOfPayments,"",ROW()-ROW(PaymentSchedule[[#Headers],[PMT NO]])),"")</f>
        <v>102</v>
      </c>
      <c r="C113" s="176">
        <f>IF(PaymentSchedule[[#This Row],[PMT NO]]&lt;&gt;"",EOMONTH(LoanStartDate,ROW(PaymentSchedule[[#This Row],[PMT NO]])-ROW(PaymentSchedule[[#Headers],[PMT NO]])-2)+DAY(LoanStartDate),"")</f>
        <v>48092</v>
      </c>
      <c r="D113" s="177">
        <f>IF(PaymentSchedule[[#This Row],[PMT NO]]&lt;&gt;"",IF(ROW()-ROW(PaymentSchedule[[#Headers],[BEGINNING BALANCE]])=1,LoanAmount,INDEX(PaymentSchedule[ENDING BALANCE],ROW()-ROW(PaymentSchedule[[#Headers],[BEGINNING BALANCE]])-1)),"")</f>
        <v>212374.73503766811</v>
      </c>
      <c r="E113" s="177">
        <f>IF(PaymentSchedule[[#This Row],[PMT NO]]&lt;&gt;"",ScheduledPayment,"")</f>
        <v>1342.0540575303476</v>
      </c>
      <c r="F11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3" s="177">
        <f>IF(PaymentSchedule[[#This Row],[PMT NO]]&lt;&gt;"",PaymentSchedule[[#This Row],[TOTAL PAYMENT]]-PaymentSchedule[[#This Row],[INTEREST]],"")</f>
        <v>457.15932820673049</v>
      </c>
      <c r="I113" s="177">
        <f>IF(PaymentSchedule[[#This Row],[PMT NO]]&lt;&gt;"",PaymentSchedule[[#This Row],[BEGINNING BALANCE]]*(InterestRate/PaymentsPerYear),"")</f>
        <v>884.89472932361707</v>
      </c>
      <c r="J11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211917.57570946138</v>
      </c>
      <c r="K113" s="177">
        <f>IF(PaymentSchedule[[#This Row],[PMT NO]]&lt;&gt;"",SUM(INDEX(PaymentSchedule[INTEREST],1,1):PaymentSchedule[[#This Row],[INTEREST]]),"")</f>
        <v>98807.089577556864</v>
      </c>
      <c r="L113" s="178"/>
    </row>
    <row r="114" spans="2:12" x14ac:dyDescent="0.2">
      <c r="B114" s="175">
        <f>IF(LoanIsGood,IF(ROW()-ROW(PaymentSchedule[[#Headers],[PMT NO]])&gt;ScheduledNumberOfPayments,"",ROW()-ROW(PaymentSchedule[[#Headers],[PMT NO]])),"")</f>
        <v>103</v>
      </c>
      <c r="C114" s="176">
        <f>IF(PaymentSchedule[[#This Row],[PMT NO]]&lt;&gt;"",EOMONTH(LoanStartDate,ROW(PaymentSchedule[[#This Row],[PMT NO]])-ROW(PaymentSchedule[[#Headers],[PMT NO]])-2)+DAY(LoanStartDate),"")</f>
        <v>48122</v>
      </c>
      <c r="D114" s="177">
        <f>IF(PaymentSchedule[[#This Row],[PMT NO]]&lt;&gt;"",IF(ROW()-ROW(PaymentSchedule[[#Headers],[BEGINNING BALANCE]])=1,LoanAmount,INDEX(PaymentSchedule[ENDING BALANCE],ROW()-ROW(PaymentSchedule[[#Headers],[BEGINNING BALANCE]])-1)),"")</f>
        <v>211917.57570946138</v>
      </c>
      <c r="E114" s="177">
        <f>IF(PaymentSchedule[[#This Row],[PMT NO]]&lt;&gt;"",ScheduledPayment,"")</f>
        <v>1342.0540575303476</v>
      </c>
      <c r="F11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4" s="177">
        <f>IF(PaymentSchedule[[#This Row],[PMT NO]]&lt;&gt;"",PaymentSchedule[[#This Row],[TOTAL PAYMENT]]-PaymentSchedule[[#This Row],[INTEREST]],"")</f>
        <v>459.06415874092511</v>
      </c>
      <c r="I114" s="177">
        <f>IF(PaymentSchedule[[#This Row],[PMT NO]]&lt;&gt;"",PaymentSchedule[[#This Row],[BEGINNING BALANCE]]*(InterestRate/PaymentsPerYear),"")</f>
        <v>882.98989878942245</v>
      </c>
      <c r="J11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211458.51155072046</v>
      </c>
      <c r="K114" s="177">
        <f>IF(PaymentSchedule[[#This Row],[PMT NO]]&lt;&gt;"",SUM(INDEX(PaymentSchedule[INTEREST],1,1):PaymentSchedule[[#This Row],[INTEREST]]),"")</f>
        <v>99690.079476346291</v>
      </c>
      <c r="L114" s="178"/>
    </row>
    <row r="115" spans="2:12" x14ac:dyDescent="0.2">
      <c r="B115" s="175">
        <f>IF(LoanIsGood,IF(ROW()-ROW(PaymentSchedule[[#Headers],[PMT NO]])&gt;ScheduledNumberOfPayments,"",ROW()-ROW(PaymentSchedule[[#Headers],[PMT NO]])),"")</f>
        <v>104</v>
      </c>
      <c r="C115" s="176">
        <f>IF(PaymentSchedule[[#This Row],[PMT NO]]&lt;&gt;"",EOMONTH(LoanStartDate,ROW(PaymentSchedule[[#This Row],[PMT NO]])-ROW(PaymentSchedule[[#Headers],[PMT NO]])-2)+DAY(LoanStartDate),"")</f>
        <v>48153</v>
      </c>
      <c r="D115" s="177">
        <f>IF(PaymentSchedule[[#This Row],[PMT NO]]&lt;&gt;"",IF(ROW()-ROW(PaymentSchedule[[#Headers],[BEGINNING BALANCE]])=1,LoanAmount,INDEX(PaymentSchedule[ENDING BALANCE],ROW()-ROW(PaymentSchedule[[#Headers],[BEGINNING BALANCE]])-1)),"")</f>
        <v>211458.51155072046</v>
      </c>
      <c r="E115" s="177">
        <f>IF(PaymentSchedule[[#This Row],[PMT NO]]&lt;&gt;"",ScheduledPayment,"")</f>
        <v>1342.0540575303476</v>
      </c>
      <c r="F11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5" s="177">
        <f>IF(PaymentSchedule[[#This Row],[PMT NO]]&lt;&gt;"",PaymentSchedule[[#This Row],[TOTAL PAYMENT]]-PaymentSchedule[[#This Row],[INTEREST]],"")</f>
        <v>460.97692606901228</v>
      </c>
      <c r="I115" s="177">
        <f>IF(PaymentSchedule[[#This Row],[PMT NO]]&lt;&gt;"",PaymentSchedule[[#This Row],[BEGINNING BALANCE]]*(InterestRate/PaymentsPerYear),"")</f>
        <v>881.07713146133528</v>
      </c>
      <c r="J11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210997.53462465145</v>
      </c>
      <c r="K115" s="177">
        <f>IF(PaymentSchedule[[#This Row],[PMT NO]]&lt;&gt;"",SUM(INDEX(PaymentSchedule[INTEREST],1,1):PaymentSchedule[[#This Row],[INTEREST]]),"")</f>
        <v>100571.15660780763</v>
      </c>
      <c r="L115" s="178"/>
    </row>
    <row r="116" spans="2:12" x14ac:dyDescent="0.2">
      <c r="B116" s="175">
        <f>IF(LoanIsGood,IF(ROW()-ROW(PaymentSchedule[[#Headers],[PMT NO]])&gt;ScheduledNumberOfPayments,"",ROW()-ROW(PaymentSchedule[[#Headers],[PMT NO]])),"")</f>
        <v>105</v>
      </c>
      <c r="C116" s="176">
        <f>IF(PaymentSchedule[[#This Row],[PMT NO]]&lt;&gt;"",EOMONTH(LoanStartDate,ROW(PaymentSchedule[[#This Row],[PMT NO]])-ROW(PaymentSchedule[[#Headers],[PMT NO]])-2)+DAY(LoanStartDate),"")</f>
        <v>48183</v>
      </c>
      <c r="D116" s="177">
        <f>IF(PaymentSchedule[[#This Row],[PMT NO]]&lt;&gt;"",IF(ROW()-ROW(PaymentSchedule[[#Headers],[BEGINNING BALANCE]])=1,LoanAmount,INDEX(PaymentSchedule[ENDING BALANCE],ROW()-ROW(PaymentSchedule[[#Headers],[BEGINNING BALANCE]])-1)),"")</f>
        <v>210997.53462465145</v>
      </c>
      <c r="E116" s="177">
        <f>IF(PaymentSchedule[[#This Row],[PMT NO]]&lt;&gt;"",ScheduledPayment,"")</f>
        <v>1342.0540575303476</v>
      </c>
      <c r="F11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6" s="177">
        <f>IF(PaymentSchedule[[#This Row],[PMT NO]]&lt;&gt;"",PaymentSchedule[[#This Row],[TOTAL PAYMENT]]-PaymentSchedule[[#This Row],[INTEREST]],"")</f>
        <v>462.89766326096651</v>
      </c>
      <c r="I116" s="177">
        <f>IF(PaymentSchedule[[#This Row],[PMT NO]]&lt;&gt;"",PaymentSchedule[[#This Row],[BEGINNING BALANCE]]*(InterestRate/PaymentsPerYear),"")</f>
        <v>879.15639426938105</v>
      </c>
      <c r="J11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210534.6369613905</v>
      </c>
      <c r="K116" s="177">
        <f>IF(PaymentSchedule[[#This Row],[PMT NO]]&lt;&gt;"",SUM(INDEX(PaymentSchedule[INTEREST],1,1):PaymentSchedule[[#This Row],[INTEREST]]),"")</f>
        <v>101450.313002077</v>
      </c>
      <c r="L116" s="178"/>
    </row>
    <row r="117" spans="2:12" x14ac:dyDescent="0.2">
      <c r="B117" s="175">
        <f>IF(LoanIsGood,IF(ROW()-ROW(PaymentSchedule[[#Headers],[PMT NO]])&gt;ScheduledNumberOfPayments,"",ROW()-ROW(PaymentSchedule[[#Headers],[PMT NO]])),"")</f>
        <v>106</v>
      </c>
      <c r="C117" s="176">
        <f>IF(PaymentSchedule[[#This Row],[PMT NO]]&lt;&gt;"",EOMONTH(LoanStartDate,ROW(PaymentSchedule[[#This Row],[PMT NO]])-ROW(PaymentSchedule[[#Headers],[PMT NO]])-2)+DAY(LoanStartDate),"")</f>
        <v>48214</v>
      </c>
      <c r="D117" s="177">
        <f>IF(PaymentSchedule[[#This Row],[PMT NO]]&lt;&gt;"",IF(ROW()-ROW(PaymentSchedule[[#Headers],[BEGINNING BALANCE]])=1,LoanAmount,INDEX(PaymentSchedule[ENDING BALANCE],ROW()-ROW(PaymentSchedule[[#Headers],[BEGINNING BALANCE]])-1)),"")</f>
        <v>210534.6369613905</v>
      </c>
      <c r="E117" s="177">
        <f>IF(PaymentSchedule[[#This Row],[PMT NO]]&lt;&gt;"",ScheduledPayment,"")</f>
        <v>1342.0540575303476</v>
      </c>
      <c r="F11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7" s="177">
        <f>IF(PaymentSchedule[[#This Row],[PMT NO]]&lt;&gt;"",PaymentSchedule[[#This Row],[TOTAL PAYMENT]]-PaymentSchedule[[#This Row],[INTEREST]],"")</f>
        <v>464.82640352455383</v>
      </c>
      <c r="I117" s="177">
        <f>IF(PaymentSchedule[[#This Row],[PMT NO]]&lt;&gt;"",PaymentSchedule[[#This Row],[BEGINNING BALANCE]]*(InterestRate/PaymentsPerYear),"")</f>
        <v>877.22765400579374</v>
      </c>
      <c r="J11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210069.81055786595</v>
      </c>
      <c r="K117" s="177">
        <f>IF(PaymentSchedule[[#This Row],[PMT NO]]&lt;&gt;"",SUM(INDEX(PaymentSchedule[INTEREST],1,1):PaymentSchedule[[#This Row],[INTEREST]]),"")</f>
        <v>102327.5406560828</v>
      </c>
      <c r="L117" s="178"/>
    </row>
    <row r="118" spans="2:12" x14ac:dyDescent="0.2">
      <c r="B118" s="175">
        <f>IF(LoanIsGood,IF(ROW()-ROW(PaymentSchedule[[#Headers],[PMT NO]])&gt;ScheduledNumberOfPayments,"",ROW()-ROW(PaymentSchedule[[#Headers],[PMT NO]])),"")</f>
        <v>107</v>
      </c>
      <c r="C118" s="176">
        <f>IF(PaymentSchedule[[#This Row],[PMT NO]]&lt;&gt;"",EOMONTH(LoanStartDate,ROW(PaymentSchedule[[#This Row],[PMT NO]])-ROW(PaymentSchedule[[#Headers],[PMT NO]])-2)+DAY(LoanStartDate),"")</f>
        <v>48245</v>
      </c>
      <c r="D118" s="177">
        <f>IF(PaymentSchedule[[#This Row],[PMT NO]]&lt;&gt;"",IF(ROW()-ROW(PaymentSchedule[[#Headers],[BEGINNING BALANCE]])=1,LoanAmount,INDEX(PaymentSchedule[ENDING BALANCE],ROW()-ROW(PaymentSchedule[[#Headers],[BEGINNING BALANCE]])-1)),"")</f>
        <v>210069.81055786595</v>
      </c>
      <c r="E118" s="177">
        <f>IF(PaymentSchedule[[#This Row],[PMT NO]]&lt;&gt;"",ScheduledPayment,"")</f>
        <v>1342.0540575303476</v>
      </c>
      <c r="F11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8" s="177">
        <f>IF(PaymentSchedule[[#This Row],[PMT NO]]&lt;&gt;"",PaymentSchedule[[#This Row],[TOTAL PAYMENT]]-PaymentSchedule[[#This Row],[INTEREST]],"")</f>
        <v>466.76318020590611</v>
      </c>
      <c r="I118" s="177">
        <f>IF(PaymentSchedule[[#This Row],[PMT NO]]&lt;&gt;"",PaymentSchedule[[#This Row],[BEGINNING BALANCE]]*(InterestRate/PaymentsPerYear),"")</f>
        <v>875.29087732444145</v>
      </c>
      <c r="J11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209603.04737766003</v>
      </c>
      <c r="K118" s="177">
        <f>IF(PaymentSchedule[[#This Row],[PMT NO]]&lt;&gt;"",SUM(INDEX(PaymentSchedule[INTEREST],1,1):PaymentSchedule[[#This Row],[INTEREST]]),"")</f>
        <v>103202.83153340724</v>
      </c>
      <c r="L118" s="178"/>
    </row>
    <row r="119" spans="2:12" x14ac:dyDescent="0.2">
      <c r="B119" s="175">
        <f>IF(LoanIsGood,IF(ROW()-ROW(PaymentSchedule[[#Headers],[PMT NO]])&gt;ScheduledNumberOfPayments,"",ROW()-ROW(PaymentSchedule[[#Headers],[PMT NO]])),"")</f>
        <v>108</v>
      </c>
      <c r="C119" s="176">
        <f>IF(PaymentSchedule[[#This Row],[PMT NO]]&lt;&gt;"",EOMONTH(LoanStartDate,ROW(PaymentSchedule[[#This Row],[PMT NO]])-ROW(PaymentSchedule[[#Headers],[PMT NO]])-2)+DAY(LoanStartDate),"")</f>
        <v>48274</v>
      </c>
      <c r="D119" s="177">
        <f>IF(PaymentSchedule[[#This Row],[PMT NO]]&lt;&gt;"",IF(ROW()-ROW(PaymentSchedule[[#Headers],[BEGINNING BALANCE]])=1,LoanAmount,INDEX(PaymentSchedule[ENDING BALANCE],ROW()-ROW(PaymentSchedule[[#Headers],[BEGINNING BALANCE]])-1)),"")</f>
        <v>209603.04737766003</v>
      </c>
      <c r="E119" s="177">
        <f>IF(PaymentSchedule[[#This Row],[PMT NO]]&lt;&gt;"",ScheduledPayment,"")</f>
        <v>1342.0540575303476</v>
      </c>
      <c r="F11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19" s="177">
        <f>IF(PaymentSchedule[[#This Row],[PMT NO]]&lt;&gt;"",PaymentSchedule[[#This Row],[TOTAL PAYMENT]]-PaymentSchedule[[#This Row],[INTEREST]],"")</f>
        <v>468.70802679009751</v>
      </c>
      <c r="I119" s="177">
        <f>IF(PaymentSchedule[[#This Row],[PMT NO]]&lt;&gt;"",PaymentSchedule[[#This Row],[BEGINNING BALANCE]]*(InterestRate/PaymentsPerYear),"")</f>
        <v>873.34603074025006</v>
      </c>
      <c r="J11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209134.33935086994</v>
      </c>
      <c r="K119" s="177">
        <f>IF(PaymentSchedule[[#This Row],[PMT NO]]&lt;&gt;"",SUM(INDEX(PaymentSchedule[INTEREST],1,1):PaymentSchedule[[#This Row],[INTEREST]]),"")</f>
        <v>104076.1775641475</v>
      </c>
      <c r="L119" s="178"/>
    </row>
    <row r="120" spans="2:12" x14ac:dyDescent="0.2">
      <c r="B120" s="175">
        <f>IF(LoanIsGood,IF(ROW()-ROW(PaymentSchedule[[#Headers],[PMT NO]])&gt;ScheduledNumberOfPayments,"",ROW()-ROW(PaymentSchedule[[#Headers],[PMT NO]])),"")</f>
        <v>109</v>
      </c>
      <c r="C120" s="176">
        <f>IF(PaymentSchedule[[#This Row],[PMT NO]]&lt;&gt;"",EOMONTH(LoanStartDate,ROW(PaymentSchedule[[#This Row],[PMT NO]])-ROW(PaymentSchedule[[#Headers],[PMT NO]])-2)+DAY(LoanStartDate),"")</f>
        <v>48305</v>
      </c>
      <c r="D120" s="177">
        <f>IF(PaymentSchedule[[#This Row],[PMT NO]]&lt;&gt;"",IF(ROW()-ROW(PaymentSchedule[[#Headers],[BEGINNING BALANCE]])=1,LoanAmount,INDEX(PaymentSchedule[ENDING BALANCE],ROW()-ROW(PaymentSchedule[[#Headers],[BEGINNING BALANCE]])-1)),"")</f>
        <v>209134.33935086994</v>
      </c>
      <c r="E120" s="177">
        <f>IF(PaymentSchedule[[#This Row],[PMT NO]]&lt;&gt;"",ScheduledPayment,"")</f>
        <v>1342.0540575303476</v>
      </c>
      <c r="F12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0" s="177">
        <f>IF(PaymentSchedule[[#This Row],[PMT NO]]&lt;&gt;"",PaymentSchedule[[#This Row],[TOTAL PAYMENT]]-PaymentSchedule[[#This Row],[INTEREST]],"")</f>
        <v>470.66097690172285</v>
      </c>
      <c r="I120" s="177">
        <f>IF(PaymentSchedule[[#This Row],[PMT NO]]&lt;&gt;"",PaymentSchedule[[#This Row],[BEGINNING BALANCE]]*(InterestRate/PaymentsPerYear),"")</f>
        <v>871.39308062862472</v>
      </c>
      <c r="J12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208663.67837396823</v>
      </c>
      <c r="K120" s="177">
        <f>IF(PaymentSchedule[[#This Row],[PMT NO]]&lt;&gt;"",SUM(INDEX(PaymentSchedule[INTEREST],1,1):PaymentSchedule[[#This Row],[INTEREST]]),"")</f>
        <v>104947.57064477612</v>
      </c>
      <c r="L120" s="178"/>
    </row>
    <row r="121" spans="2:12" x14ac:dyDescent="0.2">
      <c r="B121" s="175">
        <f>IF(LoanIsGood,IF(ROW()-ROW(PaymentSchedule[[#Headers],[PMT NO]])&gt;ScheduledNumberOfPayments,"",ROW()-ROW(PaymentSchedule[[#Headers],[PMT NO]])),"")</f>
        <v>110</v>
      </c>
      <c r="C121" s="176">
        <f>IF(PaymentSchedule[[#This Row],[PMT NO]]&lt;&gt;"",EOMONTH(LoanStartDate,ROW(PaymentSchedule[[#This Row],[PMT NO]])-ROW(PaymentSchedule[[#Headers],[PMT NO]])-2)+DAY(LoanStartDate),"")</f>
        <v>48335</v>
      </c>
      <c r="D121" s="177">
        <f>IF(PaymentSchedule[[#This Row],[PMT NO]]&lt;&gt;"",IF(ROW()-ROW(PaymentSchedule[[#Headers],[BEGINNING BALANCE]])=1,LoanAmount,INDEX(PaymentSchedule[ENDING BALANCE],ROW()-ROW(PaymentSchedule[[#Headers],[BEGINNING BALANCE]])-1)),"")</f>
        <v>208663.67837396823</v>
      </c>
      <c r="E121" s="177">
        <f>IF(PaymentSchedule[[#This Row],[PMT NO]]&lt;&gt;"",ScheduledPayment,"")</f>
        <v>1342.0540575303476</v>
      </c>
      <c r="F12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1" s="177">
        <f>IF(PaymentSchedule[[#This Row],[PMT NO]]&lt;&gt;"",PaymentSchedule[[#This Row],[TOTAL PAYMENT]]-PaymentSchedule[[#This Row],[INTEREST]],"")</f>
        <v>472.62206430547997</v>
      </c>
      <c r="I121" s="177">
        <f>IF(PaymentSchedule[[#This Row],[PMT NO]]&lt;&gt;"",PaymentSchedule[[#This Row],[BEGINNING BALANCE]]*(InterestRate/PaymentsPerYear),"")</f>
        <v>869.4319932248676</v>
      </c>
      <c r="J12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208191.05630966276</v>
      </c>
      <c r="K121" s="177">
        <f>IF(PaymentSchedule[[#This Row],[PMT NO]]&lt;&gt;"",SUM(INDEX(PaymentSchedule[INTEREST],1,1):PaymentSchedule[[#This Row],[INTEREST]]),"")</f>
        <v>105817.00263800098</v>
      </c>
      <c r="L121" s="178"/>
    </row>
    <row r="122" spans="2:12" x14ac:dyDescent="0.2">
      <c r="B122" s="175">
        <f>IF(LoanIsGood,IF(ROW()-ROW(PaymentSchedule[[#Headers],[PMT NO]])&gt;ScheduledNumberOfPayments,"",ROW()-ROW(PaymentSchedule[[#Headers],[PMT NO]])),"")</f>
        <v>111</v>
      </c>
      <c r="C122" s="176">
        <f>IF(PaymentSchedule[[#This Row],[PMT NO]]&lt;&gt;"",EOMONTH(LoanStartDate,ROW(PaymentSchedule[[#This Row],[PMT NO]])-ROW(PaymentSchedule[[#Headers],[PMT NO]])-2)+DAY(LoanStartDate),"")</f>
        <v>48366</v>
      </c>
      <c r="D122" s="177">
        <f>IF(PaymentSchedule[[#This Row],[PMT NO]]&lt;&gt;"",IF(ROW()-ROW(PaymentSchedule[[#Headers],[BEGINNING BALANCE]])=1,LoanAmount,INDEX(PaymentSchedule[ENDING BALANCE],ROW()-ROW(PaymentSchedule[[#Headers],[BEGINNING BALANCE]])-1)),"")</f>
        <v>208191.05630966276</v>
      </c>
      <c r="E122" s="177">
        <f>IF(PaymentSchedule[[#This Row],[PMT NO]]&lt;&gt;"",ScheduledPayment,"")</f>
        <v>1342.0540575303476</v>
      </c>
      <c r="F12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2" s="177">
        <f>IF(PaymentSchedule[[#This Row],[PMT NO]]&lt;&gt;"",PaymentSchedule[[#This Row],[TOTAL PAYMENT]]-PaymentSchedule[[#This Row],[INTEREST]],"")</f>
        <v>474.59132290675279</v>
      </c>
      <c r="I122" s="177">
        <f>IF(PaymentSchedule[[#This Row],[PMT NO]]&lt;&gt;"",PaymentSchedule[[#This Row],[BEGINNING BALANCE]]*(InterestRate/PaymentsPerYear),"")</f>
        <v>867.46273462359477</v>
      </c>
      <c r="J12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207716.46498675601</v>
      </c>
      <c r="K122" s="177">
        <f>IF(PaymentSchedule[[#This Row],[PMT NO]]&lt;&gt;"",SUM(INDEX(PaymentSchedule[INTEREST],1,1):PaymentSchedule[[#This Row],[INTEREST]]),"")</f>
        <v>106684.46537262457</v>
      </c>
      <c r="L122" s="178"/>
    </row>
    <row r="123" spans="2:12" x14ac:dyDescent="0.2">
      <c r="B123" s="175">
        <f>IF(LoanIsGood,IF(ROW()-ROW(PaymentSchedule[[#Headers],[PMT NO]])&gt;ScheduledNumberOfPayments,"",ROW()-ROW(PaymentSchedule[[#Headers],[PMT NO]])),"")</f>
        <v>112</v>
      </c>
      <c r="C123" s="176">
        <f>IF(PaymentSchedule[[#This Row],[PMT NO]]&lt;&gt;"",EOMONTH(LoanStartDate,ROW(PaymentSchedule[[#This Row],[PMT NO]])-ROW(PaymentSchedule[[#Headers],[PMT NO]])-2)+DAY(LoanStartDate),"")</f>
        <v>48396</v>
      </c>
      <c r="D123" s="177">
        <f>IF(PaymentSchedule[[#This Row],[PMT NO]]&lt;&gt;"",IF(ROW()-ROW(PaymentSchedule[[#Headers],[BEGINNING BALANCE]])=1,LoanAmount,INDEX(PaymentSchedule[ENDING BALANCE],ROW()-ROW(PaymentSchedule[[#Headers],[BEGINNING BALANCE]])-1)),"")</f>
        <v>207716.46498675601</v>
      </c>
      <c r="E123" s="177">
        <f>IF(PaymentSchedule[[#This Row],[PMT NO]]&lt;&gt;"",ScheduledPayment,"")</f>
        <v>1342.0540575303476</v>
      </c>
      <c r="F12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3" s="177">
        <f>IF(PaymentSchedule[[#This Row],[PMT NO]]&lt;&gt;"",PaymentSchedule[[#This Row],[TOTAL PAYMENT]]-PaymentSchedule[[#This Row],[INTEREST]],"")</f>
        <v>476.56878675219752</v>
      </c>
      <c r="I123" s="177">
        <f>IF(PaymentSchedule[[#This Row],[PMT NO]]&lt;&gt;"",PaymentSchedule[[#This Row],[BEGINNING BALANCE]]*(InterestRate/PaymentsPerYear),"")</f>
        <v>865.48527077815004</v>
      </c>
      <c r="J12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207239.8962000038</v>
      </c>
      <c r="K123" s="177">
        <f>IF(PaymentSchedule[[#This Row],[PMT NO]]&lt;&gt;"",SUM(INDEX(PaymentSchedule[INTEREST],1,1):PaymentSchedule[[#This Row],[INTEREST]]),"")</f>
        <v>107549.95064340273</v>
      </c>
      <c r="L123" s="178"/>
    </row>
    <row r="124" spans="2:12" x14ac:dyDescent="0.2">
      <c r="B124" s="175">
        <f>IF(LoanIsGood,IF(ROW()-ROW(PaymentSchedule[[#Headers],[PMT NO]])&gt;ScheduledNumberOfPayments,"",ROW()-ROW(PaymentSchedule[[#Headers],[PMT NO]])),"")</f>
        <v>113</v>
      </c>
      <c r="C124" s="176">
        <f>IF(PaymentSchedule[[#This Row],[PMT NO]]&lt;&gt;"",EOMONTH(LoanStartDate,ROW(PaymentSchedule[[#This Row],[PMT NO]])-ROW(PaymentSchedule[[#Headers],[PMT NO]])-2)+DAY(LoanStartDate),"")</f>
        <v>48427</v>
      </c>
      <c r="D124" s="177">
        <f>IF(PaymentSchedule[[#This Row],[PMT NO]]&lt;&gt;"",IF(ROW()-ROW(PaymentSchedule[[#Headers],[BEGINNING BALANCE]])=1,LoanAmount,INDEX(PaymentSchedule[ENDING BALANCE],ROW()-ROW(PaymentSchedule[[#Headers],[BEGINNING BALANCE]])-1)),"")</f>
        <v>207239.8962000038</v>
      </c>
      <c r="E124" s="177">
        <f>IF(PaymentSchedule[[#This Row],[PMT NO]]&lt;&gt;"",ScheduledPayment,"")</f>
        <v>1342.0540575303476</v>
      </c>
      <c r="F12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4" s="177">
        <f>IF(PaymentSchedule[[#This Row],[PMT NO]]&lt;&gt;"",PaymentSchedule[[#This Row],[TOTAL PAYMENT]]-PaymentSchedule[[#This Row],[INTEREST]],"")</f>
        <v>478.55449003033175</v>
      </c>
      <c r="I124" s="177">
        <f>IF(PaymentSchedule[[#This Row],[PMT NO]]&lt;&gt;"",PaymentSchedule[[#This Row],[BEGINNING BALANCE]]*(InterestRate/PaymentsPerYear),"")</f>
        <v>863.49956750001581</v>
      </c>
      <c r="J12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206761.34170997347</v>
      </c>
      <c r="K124" s="177">
        <f>IF(PaymentSchedule[[#This Row],[PMT NO]]&lt;&gt;"",SUM(INDEX(PaymentSchedule[INTEREST],1,1):PaymentSchedule[[#This Row],[INTEREST]]),"")</f>
        <v>108413.45021090274</v>
      </c>
      <c r="L124" s="178"/>
    </row>
    <row r="125" spans="2:12" x14ac:dyDescent="0.2">
      <c r="B125" s="175">
        <f>IF(LoanIsGood,IF(ROW()-ROW(PaymentSchedule[[#Headers],[PMT NO]])&gt;ScheduledNumberOfPayments,"",ROW()-ROW(PaymentSchedule[[#Headers],[PMT NO]])),"")</f>
        <v>114</v>
      </c>
      <c r="C125" s="176">
        <f>IF(PaymentSchedule[[#This Row],[PMT NO]]&lt;&gt;"",EOMONTH(LoanStartDate,ROW(PaymentSchedule[[#This Row],[PMT NO]])-ROW(PaymentSchedule[[#Headers],[PMT NO]])-2)+DAY(LoanStartDate),"")</f>
        <v>48458</v>
      </c>
      <c r="D125" s="177">
        <f>IF(PaymentSchedule[[#This Row],[PMT NO]]&lt;&gt;"",IF(ROW()-ROW(PaymentSchedule[[#Headers],[BEGINNING BALANCE]])=1,LoanAmount,INDEX(PaymentSchedule[ENDING BALANCE],ROW()-ROW(PaymentSchedule[[#Headers],[BEGINNING BALANCE]])-1)),"")</f>
        <v>206761.34170997347</v>
      </c>
      <c r="E125" s="177">
        <f>IF(PaymentSchedule[[#This Row],[PMT NO]]&lt;&gt;"",ScheduledPayment,"")</f>
        <v>1342.0540575303476</v>
      </c>
      <c r="F12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5" s="177">
        <f>IF(PaymentSchedule[[#This Row],[PMT NO]]&lt;&gt;"",PaymentSchedule[[#This Row],[TOTAL PAYMENT]]-PaymentSchedule[[#This Row],[INTEREST]],"")</f>
        <v>480.54846707212482</v>
      </c>
      <c r="I125" s="177">
        <f>IF(PaymentSchedule[[#This Row],[PMT NO]]&lt;&gt;"",PaymentSchedule[[#This Row],[BEGINNING BALANCE]]*(InterestRate/PaymentsPerYear),"")</f>
        <v>861.50559045822274</v>
      </c>
      <c r="J12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206280.79324290133</v>
      </c>
      <c r="K125" s="177">
        <f>IF(PaymentSchedule[[#This Row],[PMT NO]]&lt;&gt;"",SUM(INDEX(PaymentSchedule[INTEREST],1,1):PaymentSchedule[[#This Row],[INTEREST]]),"")</f>
        <v>109274.95580136096</v>
      </c>
      <c r="L125" s="178"/>
    </row>
    <row r="126" spans="2:12" x14ac:dyDescent="0.2">
      <c r="B126" s="175">
        <f>IF(LoanIsGood,IF(ROW()-ROW(PaymentSchedule[[#Headers],[PMT NO]])&gt;ScheduledNumberOfPayments,"",ROW()-ROW(PaymentSchedule[[#Headers],[PMT NO]])),"")</f>
        <v>115</v>
      </c>
      <c r="C126" s="176">
        <f>IF(PaymentSchedule[[#This Row],[PMT NO]]&lt;&gt;"",EOMONTH(LoanStartDate,ROW(PaymentSchedule[[#This Row],[PMT NO]])-ROW(PaymentSchedule[[#Headers],[PMT NO]])-2)+DAY(LoanStartDate),"")</f>
        <v>48488</v>
      </c>
      <c r="D126" s="177">
        <f>IF(PaymentSchedule[[#This Row],[PMT NO]]&lt;&gt;"",IF(ROW()-ROW(PaymentSchedule[[#Headers],[BEGINNING BALANCE]])=1,LoanAmount,INDEX(PaymentSchedule[ENDING BALANCE],ROW()-ROW(PaymentSchedule[[#Headers],[BEGINNING BALANCE]])-1)),"")</f>
        <v>206280.79324290133</v>
      </c>
      <c r="E126" s="177">
        <f>IF(PaymentSchedule[[#This Row],[PMT NO]]&lt;&gt;"",ScheduledPayment,"")</f>
        <v>1342.0540575303476</v>
      </c>
      <c r="F12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6" s="177">
        <f>IF(PaymentSchedule[[#This Row],[PMT NO]]&lt;&gt;"",PaymentSchedule[[#This Row],[TOTAL PAYMENT]]-PaymentSchedule[[#This Row],[INTEREST]],"")</f>
        <v>482.550752351592</v>
      </c>
      <c r="I126" s="177">
        <f>IF(PaymentSchedule[[#This Row],[PMT NO]]&lt;&gt;"",PaymentSchedule[[#This Row],[BEGINNING BALANCE]]*(InterestRate/PaymentsPerYear),"")</f>
        <v>859.50330517875557</v>
      </c>
      <c r="J12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205798.24249054975</v>
      </c>
      <c r="K126" s="177">
        <f>IF(PaymentSchedule[[#This Row],[PMT NO]]&lt;&gt;"",SUM(INDEX(PaymentSchedule[INTEREST],1,1):PaymentSchedule[[#This Row],[INTEREST]]),"")</f>
        <v>110134.45910653973</v>
      </c>
      <c r="L126" s="178"/>
    </row>
    <row r="127" spans="2:12" x14ac:dyDescent="0.2">
      <c r="B127" s="175">
        <f>IF(LoanIsGood,IF(ROW()-ROW(PaymentSchedule[[#Headers],[PMT NO]])&gt;ScheduledNumberOfPayments,"",ROW()-ROW(PaymentSchedule[[#Headers],[PMT NO]])),"")</f>
        <v>116</v>
      </c>
      <c r="C127" s="176">
        <f>IF(PaymentSchedule[[#This Row],[PMT NO]]&lt;&gt;"",EOMONTH(LoanStartDate,ROW(PaymentSchedule[[#This Row],[PMT NO]])-ROW(PaymentSchedule[[#Headers],[PMT NO]])-2)+DAY(LoanStartDate),"")</f>
        <v>48519</v>
      </c>
      <c r="D127" s="177">
        <f>IF(PaymentSchedule[[#This Row],[PMT NO]]&lt;&gt;"",IF(ROW()-ROW(PaymentSchedule[[#Headers],[BEGINNING BALANCE]])=1,LoanAmount,INDEX(PaymentSchedule[ENDING BALANCE],ROW()-ROW(PaymentSchedule[[#Headers],[BEGINNING BALANCE]])-1)),"")</f>
        <v>205798.24249054975</v>
      </c>
      <c r="E127" s="177">
        <f>IF(PaymentSchedule[[#This Row],[PMT NO]]&lt;&gt;"",ScheduledPayment,"")</f>
        <v>1342.0540575303476</v>
      </c>
      <c r="F12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7" s="177">
        <f>IF(PaymentSchedule[[#This Row],[PMT NO]]&lt;&gt;"",PaymentSchedule[[#This Row],[TOTAL PAYMENT]]-PaymentSchedule[[#This Row],[INTEREST]],"")</f>
        <v>484.56138048639025</v>
      </c>
      <c r="I127" s="177">
        <f>IF(PaymentSchedule[[#This Row],[PMT NO]]&lt;&gt;"",PaymentSchedule[[#This Row],[BEGINNING BALANCE]]*(InterestRate/PaymentsPerYear),"")</f>
        <v>857.49267704395731</v>
      </c>
      <c r="J12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205313.68111006336</v>
      </c>
      <c r="K127" s="177">
        <f>IF(PaymentSchedule[[#This Row],[PMT NO]]&lt;&gt;"",SUM(INDEX(PaymentSchedule[INTEREST],1,1):PaymentSchedule[[#This Row],[INTEREST]]),"")</f>
        <v>110991.95178358369</v>
      </c>
      <c r="L127" s="178"/>
    </row>
    <row r="128" spans="2:12" x14ac:dyDescent="0.2">
      <c r="B128" s="175">
        <f>IF(LoanIsGood,IF(ROW()-ROW(PaymentSchedule[[#Headers],[PMT NO]])&gt;ScheduledNumberOfPayments,"",ROW()-ROW(PaymentSchedule[[#Headers],[PMT NO]])),"")</f>
        <v>117</v>
      </c>
      <c r="C128" s="176">
        <f>IF(PaymentSchedule[[#This Row],[PMT NO]]&lt;&gt;"",EOMONTH(LoanStartDate,ROW(PaymentSchedule[[#This Row],[PMT NO]])-ROW(PaymentSchedule[[#Headers],[PMT NO]])-2)+DAY(LoanStartDate),"")</f>
        <v>48549</v>
      </c>
      <c r="D128" s="177">
        <f>IF(PaymentSchedule[[#This Row],[PMT NO]]&lt;&gt;"",IF(ROW()-ROW(PaymentSchedule[[#Headers],[BEGINNING BALANCE]])=1,LoanAmount,INDEX(PaymentSchedule[ENDING BALANCE],ROW()-ROW(PaymentSchedule[[#Headers],[BEGINNING BALANCE]])-1)),"")</f>
        <v>205313.68111006336</v>
      </c>
      <c r="E128" s="177">
        <f>IF(PaymentSchedule[[#This Row],[PMT NO]]&lt;&gt;"",ScheduledPayment,"")</f>
        <v>1342.0540575303476</v>
      </c>
      <c r="F12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8" s="177">
        <f>IF(PaymentSchedule[[#This Row],[PMT NO]]&lt;&gt;"",PaymentSchedule[[#This Row],[TOTAL PAYMENT]]-PaymentSchedule[[#This Row],[INTEREST]],"")</f>
        <v>486.58038623841685</v>
      </c>
      <c r="I128" s="177">
        <f>IF(PaymentSchedule[[#This Row],[PMT NO]]&lt;&gt;"",PaymentSchedule[[#This Row],[BEGINNING BALANCE]]*(InterestRate/PaymentsPerYear),"")</f>
        <v>855.47367129193071</v>
      </c>
      <c r="J12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204827.10072382496</v>
      </c>
      <c r="K128" s="177">
        <f>IF(PaymentSchedule[[#This Row],[PMT NO]]&lt;&gt;"",SUM(INDEX(PaymentSchedule[INTEREST],1,1):PaymentSchedule[[#This Row],[INTEREST]]),"")</f>
        <v>111847.42545487561</v>
      </c>
      <c r="L128" s="178"/>
    </row>
    <row r="129" spans="2:12" x14ac:dyDescent="0.2">
      <c r="B129" s="175">
        <f>IF(LoanIsGood,IF(ROW()-ROW(PaymentSchedule[[#Headers],[PMT NO]])&gt;ScheduledNumberOfPayments,"",ROW()-ROW(PaymentSchedule[[#Headers],[PMT NO]])),"")</f>
        <v>118</v>
      </c>
      <c r="C129" s="176">
        <f>IF(PaymentSchedule[[#This Row],[PMT NO]]&lt;&gt;"",EOMONTH(LoanStartDate,ROW(PaymentSchedule[[#This Row],[PMT NO]])-ROW(PaymentSchedule[[#Headers],[PMT NO]])-2)+DAY(LoanStartDate),"")</f>
        <v>48580</v>
      </c>
      <c r="D129" s="177">
        <f>IF(PaymentSchedule[[#This Row],[PMT NO]]&lt;&gt;"",IF(ROW()-ROW(PaymentSchedule[[#Headers],[BEGINNING BALANCE]])=1,LoanAmount,INDEX(PaymentSchedule[ENDING BALANCE],ROW()-ROW(PaymentSchedule[[#Headers],[BEGINNING BALANCE]])-1)),"")</f>
        <v>204827.10072382496</v>
      </c>
      <c r="E129" s="177">
        <f>IF(PaymentSchedule[[#This Row],[PMT NO]]&lt;&gt;"",ScheduledPayment,"")</f>
        <v>1342.0540575303476</v>
      </c>
      <c r="F12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29" s="177">
        <f>IF(PaymentSchedule[[#This Row],[PMT NO]]&lt;&gt;"",PaymentSchedule[[#This Row],[TOTAL PAYMENT]]-PaymentSchedule[[#This Row],[INTEREST]],"")</f>
        <v>488.6078045144103</v>
      </c>
      <c r="I129" s="177">
        <f>IF(PaymentSchedule[[#This Row],[PMT NO]]&lt;&gt;"",PaymentSchedule[[#This Row],[BEGINNING BALANCE]]*(InterestRate/PaymentsPerYear),"")</f>
        <v>853.44625301593726</v>
      </c>
      <c r="J12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204338.49291931055</v>
      </c>
      <c r="K129" s="177">
        <f>IF(PaymentSchedule[[#This Row],[PMT NO]]&lt;&gt;"",SUM(INDEX(PaymentSchedule[INTEREST],1,1):PaymentSchedule[[#This Row],[INTEREST]]),"")</f>
        <v>112700.87170789155</v>
      </c>
      <c r="L129" s="178"/>
    </row>
    <row r="130" spans="2:12" x14ac:dyDescent="0.2">
      <c r="B130" s="175">
        <f>IF(LoanIsGood,IF(ROW()-ROW(PaymentSchedule[[#Headers],[PMT NO]])&gt;ScheduledNumberOfPayments,"",ROW()-ROW(PaymentSchedule[[#Headers],[PMT NO]])),"")</f>
        <v>119</v>
      </c>
      <c r="C130" s="176">
        <f>IF(PaymentSchedule[[#This Row],[PMT NO]]&lt;&gt;"",EOMONTH(LoanStartDate,ROW(PaymentSchedule[[#This Row],[PMT NO]])-ROW(PaymentSchedule[[#Headers],[PMT NO]])-2)+DAY(LoanStartDate),"")</f>
        <v>48611</v>
      </c>
      <c r="D130" s="177">
        <f>IF(PaymentSchedule[[#This Row],[PMT NO]]&lt;&gt;"",IF(ROW()-ROW(PaymentSchedule[[#Headers],[BEGINNING BALANCE]])=1,LoanAmount,INDEX(PaymentSchedule[ENDING BALANCE],ROW()-ROW(PaymentSchedule[[#Headers],[BEGINNING BALANCE]])-1)),"")</f>
        <v>204338.49291931055</v>
      </c>
      <c r="E130" s="177">
        <f>IF(PaymentSchedule[[#This Row],[PMT NO]]&lt;&gt;"",ScheduledPayment,"")</f>
        <v>1342.0540575303476</v>
      </c>
      <c r="F13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0" s="177">
        <f>IF(PaymentSchedule[[#This Row],[PMT NO]]&lt;&gt;"",PaymentSchedule[[#This Row],[TOTAL PAYMENT]]-PaymentSchedule[[#This Row],[INTEREST]],"")</f>
        <v>490.64367036655358</v>
      </c>
      <c r="I130" s="177">
        <f>IF(PaymentSchedule[[#This Row],[PMT NO]]&lt;&gt;"",PaymentSchedule[[#This Row],[BEGINNING BALANCE]]*(InterestRate/PaymentsPerYear),"")</f>
        <v>851.41038716379398</v>
      </c>
      <c r="J13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203847.849248944</v>
      </c>
      <c r="K130" s="177">
        <f>IF(PaymentSchedule[[#This Row],[PMT NO]]&lt;&gt;"",SUM(INDEX(PaymentSchedule[INTEREST],1,1):PaymentSchedule[[#This Row],[INTEREST]]),"")</f>
        <v>113552.28209505534</v>
      </c>
      <c r="L130" s="178"/>
    </row>
    <row r="131" spans="2:12" x14ac:dyDescent="0.2">
      <c r="B131" s="175">
        <f>IF(LoanIsGood,IF(ROW()-ROW(PaymentSchedule[[#Headers],[PMT NO]])&gt;ScheduledNumberOfPayments,"",ROW()-ROW(PaymentSchedule[[#Headers],[PMT NO]])),"")</f>
        <v>120</v>
      </c>
      <c r="C131" s="176">
        <f>IF(PaymentSchedule[[#This Row],[PMT NO]]&lt;&gt;"",EOMONTH(LoanStartDate,ROW(PaymentSchedule[[#This Row],[PMT NO]])-ROW(PaymentSchedule[[#Headers],[PMT NO]])-2)+DAY(LoanStartDate),"")</f>
        <v>48639</v>
      </c>
      <c r="D131" s="177">
        <f>IF(PaymentSchedule[[#This Row],[PMT NO]]&lt;&gt;"",IF(ROW()-ROW(PaymentSchedule[[#Headers],[BEGINNING BALANCE]])=1,LoanAmount,INDEX(PaymentSchedule[ENDING BALANCE],ROW()-ROW(PaymentSchedule[[#Headers],[BEGINNING BALANCE]])-1)),"")</f>
        <v>203847.849248944</v>
      </c>
      <c r="E131" s="177">
        <f>IF(PaymentSchedule[[#This Row],[PMT NO]]&lt;&gt;"",ScheduledPayment,"")</f>
        <v>1342.0540575303476</v>
      </c>
      <c r="F13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1" s="177">
        <f>IF(PaymentSchedule[[#This Row],[PMT NO]]&lt;&gt;"",PaymentSchedule[[#This Row],[TOTAL PAYMENT]]-PaymentSchedule[[#This Row],[INTEREST]],"")</f>
        <v>492.68801899308096</v>
      </c>
      <c r="I131" s="177">
        <f>IF(PaymentSchedule[[#This Row],[PMT NO]]&lt;&gt;"",PaymentSchedule[[#This Row],[BEGINNING BALANCE]]*(InterestRate/PaymentsPerYear),"")</f>
        <v>849.3660385372666</v>
      </c>
      <c r="J13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203355.16122995093</v>
      </c>
      <c r="K131" s="177">
        <f>IF(PaymentSchedule[[#This Row],[PMT NO]]&lt;&gt;"",SUM(INDEX(PaymentSchedule[INTEREST],1,1):PaymentSchedule[[#This Row],[INTEREST]]),"")</f>
        <v>114401.64813359261</v>
      </c>
      <c r="L131" s="178"/>
    </row>
    <row r="132" spans="2:12" x14ac:dyDescent="0.2">
      <c r="B132" s="175">
        <f>IF(LoanIsGood,IF(ROW()-ROW(PaymentSchedule[[#Headers],[PMT NO]])&gt;ScheduledNumberOfPayments,"",ROW()-ROW(PaymentSchedule[[#Headers],[PMT NO]])),"")</f>
        <v>121</v>
      </c>
      <c r="C132" s="176">
        <f>IF(PaymentSchedule[[#This Row],[PMT NO]]&lt;&gt;"",EOMONTH(LoanStartDate,ROW(PaymentSchedule[[#This Row],[PMT NO]])-ROW(PaymentSchedule[[#Headers],[PMT NO]])-2)+DAY(LoanStartDate),"")</f>
        <v>48670</v>
      </c>
      <c r="D132" s="177">
        <f>IF(PaymentSchedule[[#This Row],[PMT NO]]&lt;&gt;"",IF(ROW()-ROW(PaymentSchedule[[#Headers],[BEGINNING BALANCE]])=1,LoanAmount,INDEX(PaymentSchedule[ENDING BALANCE],ROW()-ROW(PaymentSchedule[[#Headers],[BEGINNING BALANCE]])-1)),"")</f>
        <v>203355.16122995093</v>
      </c>
      <c r="E132" s="177">
        <f>IF(PaymentSchedule[[#This Row],[PMT NO]]&lt;&gt;"",ScheduledPayment,"")</f>
        <v>1342.0540575303476</v>
      </c>
      <c r="F13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2" s="177">
        <f>IF(PaymentSchedule[[#This Row],[PMT NO]]&lt;&gt;"",PaymentSchedule[[#This Row],[TOTAL PAYMENT]]-PaymentSchedule[[#This Row],[INTEREST]],"")</f>
        <v>494.74088573888537</v>
      </c>
      <c r="I132" s="177">
        <f>IF(PaymentSchedule[[#This Row],[PMT NO]]&lt;&gt;"",PaymentSchedule[[#This Row],[BEGINNING BALANCE]]*(InterestRate/PaymentsPerYear),"")</f>
        <v>847.3131717914622</v>
      </c>
      <c r="J13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202860.42034421203</v>
      </c>
      <c r="K132" s="177">
        <f>IF(PaymentSchedule[[#This Row],[PMT NO]]&lt;&gt;"",SUM(INDEX(PaymentSchedule[INTEREST],1,1):PaymentSchedule[[#This Row],[INTEREST]]),"")</f>
        <v>115248.96130538407</v>
      </c>
      <c r="L132" s="178"/>
    </row>
    <row r="133" spans="2:12" x14ac:dyDescent="0.2">
      <c r="B133" s="175">
        <f>IF(LoanIsGood,IF(ROW()-ROW(PaymentSchedule[[#Headers],[PMT NO]])&gt;ScheduledNumberOfPayments,"",ROW()-ROW(PaymentSchedule[[#Headers],[PMT NO]])),"")</f>
        <v>122</v>
      </c>
      <c r="C133" s="176">
        <f>IF(PaymentSchedule[[#This Row],[PMT NO]]&lt;&gt;"",EOMONTH(LoanStartDate,ROW(PaymentSchedule[[#This Row],[PMT NO]])-ROW(PaymentSchedule[[#Headers],[PMT NO]])-2)+DAY(LoanStartDate),"")</f>
        <v>48700</v>
      </c>
      <c r="D133" s="177">
        <f>IF(PaymentSchedule[[#This Row],[PMT NO]]&lt;&gt;"",IF(ROW()-ROW(PaymentSchedule[[#Headers],[BEGINNING BALANCE]])=1,LoanAmount,INDEX(PaymentSchedule[ENDING BALANCE],ROW()-ROW(PaymentSchedule[[#Headers],[BEGINNING BALANCE]])-1)),"")</f>
        <v>202860.42034421203</v>
      </c>
      <c r="E133" s="177">
        <f>IF(PaymentSchedule[[#This Row],[PMT NO]]&lt;&gt;"",ScheduledPayment,"")</f>
        <v>1342.0540575303476</v>
      </c>
      <c r="F13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3" s="177">
        <f>IF(PaymentSchedule[[#This Row],[PMT NO]]&lt;&gt;"",PaymentSchedule[[#This Row],[TOTAL PAYMENT]]-PaymentSchedule[[#This Row],[INTEREST]],"")</f>
        <v>496.80230609613079</v>
      </c>
      <c r="I133" s="177">
        <f>IF(PaymentSchedule[[#This Row],[PMT NO]]&lt;&gt;"",PaymentSchedule[[#This Row],[BEGINNING BALANCE]]*(InterestRate/PaymentsPerYear),"")</f>
        <v>845.25175143421677</v>
      </c>
      <c r="J13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202363.61803811591</v>
      </c>
      <c r="K133" s="177">
        <f>IF(PaymentSchedule[[#This Row],[PMT NO]]&lt;&gt;"",SUM(INDEX(PaymentSchedule[INTEREST],1,1):PaymentSchedule[[#This Row],[INTEREST]]),"")</f>
        <v>116094.21305681829</v>
      </c>
      <c r="L133" s="178"/>
    </row>
    <row r="134" spans="2:12" x14ac:dyDescent="0.2">
      <c r="B134" s="175">
        <f>IF(LoanIsGood,IF(ROW()-ROW(PaymentSchedule[[#Headers],[PMT NO]])&gt;ScheduledNumberOfPayments,"",ROW()-ROW(PaymentSchedule[[#Headers],[PMT NO]])),"")</f>
        <v>123</v>
      </c>
      <c r="C134" s="176">
        <f>IF(PaymentSchedule[[#This Row],[PMT NO]]&lt;&gt;"",EOMONTH(LoanStartDate,ROW(PaymentSchedule[[#This Row],[PMT NO]])-ROW(PaymentSchedule[[#Headers],[PMT NO]])-2)+DAY(LoanStartDate),"")</f>
        <v>48731</v>
      </c>
      <c r="D134" s="177">
        <f>IF(PaymentSchedule[[#This Row],[PMT NO]]&lt;&gt;"",IF(ROW()-ROW(PaymentSchedule[[#Headers],[BEGINNING BALANCE]])=1,LoanAmount,INDEX(PaymentSchedule[ENDING BALANCE],ROW()-ROW(PaymentSchedule[[#Headers],[BEGINNING BALANCE]])-1)),"")</f>
        <v>202363.61803811591</v>
      </c>
      <c r="E134" s="177">
        <f>IF(PaymentSchedule[[#This Row],[PMT NO]]&lt;&gt;"",ScheduledPayment,"")</f>
        <v>1342.0540575303476</v>
      </c>
      <c r="F13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4" s="177">
        <f>IF(PaymentSchedule[[#This Row],[PMT NO]]&lt;&gt;"",PaymentSchedule[[#This Row],[TOTAL PAYMENT]]-PaymentSchedule[[#This Row],[INTEREST]],"")</f>
        <v>498.8723157048646</v>
      </c>
      <c r="I134" s="177">
        <f>IF(PaymentSchedule[[#This Row],[PMT NO]]&lt;&gt;"",PaymentSchedule[[#This Row],[BEGINNING BALANCE]]*(InterestRate/PaymentsPerYear),"")</f>
        <v>843.18174182548296</v>
      </c>
      <c r="J13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201864.74572241105</v>
      </c>
      <c r="K134" s="177">
        <f>IF(PaymentSchedule[[#This Row],[PMT NO]]&lt;&gt;"",SUM(INDEX(PaymentSchedule[INTEREST],1,1):PaymentSchedule[[#This Row],[INTEREST]]),"")</f>
        <v>116937.39479864377</v>
      </c>
      <c r="L134" s="178"/>
    </row>
    <row r="135" spans="2:12" x14ac:dyDescent="0.2">
      <c r="B135" s="175">
        <f>IF(LoanIsGood,IF(ROW()-ROW(PaymentSchedule[[#Headers],[PMT NO]])&gt;ScheduledNumberOfPayments,"",ROW()-ROW(PaymentSchedule[[#Headers],[PMT NO]])),"")</f>
        <v>124</v>
      </c>
      <c r="C135" s="176">
        <f>IF(PaymentSchedule[[#This Row],[PMT NO]]&lt;&gt;"",EOMONTH(LoanStartDate,ROW(PaymentSchedule[[#This Row],[PMT NO]])-ROW(PaymentSchedule[[#Headers],[PMT NO]])-2)+DAY(LoanStartDate),"")</f>
        <v>48761</v>
      </c>
      <c r="D135" s="177">
        <f>IF(PaymentSchedule[[#This Row],[PMT NO]]&lt;&gt;"",IF(ROW()-ROW(PaymentSchedule[[#Headers],[BEGINNING BALANCE]])=1,LoanAmount,INDEX(PaymentSchedule[ENDING BALANCE],ROW()-ROW(PaymentSchedule[[#Headers],[BEGINNING BALANCE]])-1)),"")</f>
        <v>201864.74572241105</v>
      </c>
      <c r="E135" s="177">
        <f>IF(PaymentSchedule[[#This Row],[PMT NO]]&lt;&gt;"",ScheduledPayment,"")</f>
        <v>1342.0540575303476</v>
      </c>
      <c r="F13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5" s="177">
        <f>IF(PaymentSchedule[[#This Row],[PMT NO]]&lt;&gt;"",PaymentSchedule[[#This Row],[TOTAL PAYMENT]]-PaymentSchedule[[#This Row],[INTEREST]],"")</f>
        <v>500.95095035363488</v>
      </c>
      <c r="I135" s="177">
        <f>IF(PaymentSchedule[[#This Row],[PMT NO]]&lt;&gt;"",PaymentSchedule[[#This Row],[BEGINNING BALANCE]]*(InterestRate/PaymentsPerYear),"")</f>
        <v>841.10310717671268</v>
      </c>
      <c r="J13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201363.79477205742</v>
      </c>
      <c r="K135" s="177">
        <f>IF(PaymentSchedule[[#This Row],[PMT NO]]&lt;&gt;"",SUM(INDEX(PaymentSchedule[INTEREST],1,1):PaymentSchedule[[#This Row],[INTEREST]]),"")</f>
        <v>117778.49790582048</v>
      </c>
      <c r="L135" s="178"/>
    </row>
    <row r="136" spans="2:12" x14ac:dyDescent="0.2">
      <c r="B136" s="175">
        <f>IF(LoanIsGood,IF(ROW()-ROW(PaymentSchedule[[#Headers],[PMT NO]])&gt;ScheduledNumberOfPayments,"",ROW()-ROW(PaymentSchedule[[#Headers],[PMT NO]])),"")</f>
        <v>125</v>
      </c>
      <c r="C136" s="176">
        <f>IF(PaymentSchedule[[#This Row],[PMT NO]]&lt;&gt;"",EOMONTH(LoanStartDate,ROW(PaymentSchedule[[#This Row],[PMT NO]])-ROW(PaymentSchedule[[#Headers],[PMT NO]])-2)+DAY(LoanStartDate),"")</f>
        <v>48792</v>
      </c>
      <c r="D136" s="177">
        <f>IF(PaymentSchedule[[#This Row],[PMT NO]]&lt;&gt;"",IF(ROW()-ROW(PaymentSchedule[[#Headers],[BEGINNING BALANCE]])=1,LoanAmount,INDEX(PaymentSchedule[ENDING BALANCE],ROW()-ROW(PaymentSchedule[[#Headers],[BEGINNING BALANCE]])-1)),"")</f>
        <v>201363.79477205742</v>
      </c>
      <c r="E136" s="177">
        <f>IF(PaymentSchedule[[#This Row],[PMT NO]]&lt;&gt;"",ScheduledPayment,"")</f>
        <v>1342.0540575303476</v>
      </c>
      <c r="F13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6" s="177">
        <f>IF(PaymentSchedule[[#This Row],[PMT NO]]&lt;&gt;"",PaymentSchedule[[#This Row],[TOTAL PAYMENT]]-PaymentSchedule[[#This Row],[INTEREST]],"")</f>
        <v>503.0382459801084</v>
      </c>
      <c r="I136" s="177">
        <f>IF(PaymentSchedule[[#This Row],[PMT NO]]&lt;&gt;"",PaymentSchedule[[#This Row],[BEGINNING BALANCE]]*(InterestRate/PaymentsPerYear),"")</f>
        <v>839.01581155023916</v>
      </c>
      <c r="J13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200860.75652607731</v>
      </c>
      <c r="K136" s="177">
        <f>IF(PaymentSchedule[[#This Row],[PMT NO]]&lt;&gt;"",SUM(INDEX(PaymentSchedule[INTEREST],1,1):PaymentSchedule[[#This Row],[INTEREST]]),"")</f>
        <v>118617.51371737072</v>
      </c>
      <c r="L136" s="178"/>
    </row>
    <row r="137" spans="2:12" x14ac:dyDescent="0.2">
      <c r="B137" s="175">
        <f>IF(LoanIsGood,IF(ROW()-ROW(PaymentSchedule[[#Headers],[PMT NO]])&gt;ScheduledNumberOfPayments,"",ROW()-ROW(PaymentSchedule[[#Headers],[PMT NO]])),"")</f>
        <v>126</v>
      </c>
      <c r="C137" s="176">
        <f>IF(PaymentSchedule[[#This Row],[PMT NO]]&lt;&gt;"",EOMONTH(LoanStartDate,ROW(PaymentSchedule[[#This Row],[PMT NO]])-ROW(PaymentSchedule[[#Headers],[PMT NO]])-2)+DAY(LoanStartDate),"")</f>
        <v>48823</v>
      </c>
      <c r="D137" s="177">
        <f>IF(PaymentSchedule[[#This Row],[PMT NO]]&lt;&gt;"",IF(ROW()-ROW(PaymentSchedule[[#Headers],[BEGINNING BALANCE]])=1,LoanAmount,INDEX(PaymentSchedule[ENDING BALANCE],ROW()-ROW(PaymentSchedule[[#Headers],[BEGINNING BALANCE]])-1)),"")</f>
        <v>200860.75652607731</v>
      </c>
      <c r="E137" s="177">
        <f>IF(PaymentSchedule[[#This Row],[PMT NO]]&lt;&gt;"",ScheduledPayment,"")</f>
        <v>1342.0540575303476</v>
      </c>
      <c r="F13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7" s="177">
        <f>IF(PaymentSchedule[[#This Row],[PMT NO]]&lt;&gt;"",PaymentSchedule[[#This Row],[TOTAL PAYMENT]]-PaymentSchedule[[#This Row],[INTEREST]],"")</f>
        <v>505.13423867169206</v>
      </c>
      <c r="I137" s="177">
        <f>IF(PaymentSchedule[[#This Row],[PMT NO]]&lt;&gt;"",PaymentSchedule[[#This Row],[BEGINNING BALANCE]]*(InterestRate/PaymentsPerYear),"")</f>
        <v>836.9198188586555</v>
      </c>
      <c r="J13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200355.62228740563</v>
      </c>
      <c r="K137" s="177">
        <f>IF(PaymentSchedule[[#This Row],[PMT NO]]&lt;&gt;"",SUM(INDEX(PaymentSchedule[INTEREST],1,1):PaymentSchedule[[#This Row],[INTEREST]]),"")</f>
        <v>119454.43353622938</v>
      </c>
      <c r="L137" s="178"/>
    </row>
    <row r="138" spans="2:12" x14ac:dyDescent="0.2">
      <c r="B138" s="175">
        <f>IF(LoanIsGood,IF(ROW()-ROW(PaymentSchedule[[#Headers],[PMT NO]])&gt;ScheduledNumberOfPayments,"",ROW()-ROW(PaymentSchedule[[#Headers],[PMT NO]])),"")</f>
        <v>127</v>
      </c>
      <c r="C138" s="176">
        <f>IF(PaymentSchedule[[#This Row],[PMT NO]]&lt;&gt;"",EOMONTH(LoanStartDate,ROW(PaymentSchedule[[#This Row],[PMT NO]])-ROW(PaymentSchedule[[#Headers],[PMT NO]])-2)+DAY(LoanStartDate),"")</f>
        <v>48853</v>
      </c>
      <c r="D138" s="177">
        <f>IF(PaymentSchedule[[#This Row],[PMT NO]]&lt;&gt;"",IF(ROW()-ROW(PaymentSchedule[[#Headers],[BEGINNING BALANCE]])=1,LoanAmount,INDEX(PaymentSchedule[ENDING BALANCE],ROW()-ROW(PaymentSchedule[[#Headers],[BEGINNING BALANCE]])-1)),"")</f>
        <v>200355.62228740563</v>
      </c>
      <c r="E138" s="177">
        <f>IF(PaymentSchedule[[#This Row],[PMT NO]]&lt;&gt;"",ScheduledPayment,"")</f>
        <v>1342.0540575303476</v>
      </c>
      <c r="F13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8" s="177">
        <f>IF(PaymentSchedule[[#This Row],[PMT NO]]&lt;&gt;"",PaymentSchedule[[#This Row],[TOTAL PAYMENT]]-PaymentSchedule[[#This Row],[INTEREST]],"")</f>
        <v>507.23896466615747</v>
      </c>
      <c r="I138" s="177">
        <f>IF(PaymentSchedule[[#This Row],[PMT NO]]&lt;&gt;"",PaymentSchedule[[#This Row],[BEGINNING BALANCE]]*(InterestRate/PaymentsPerYear),"")</f>
        <v>834.81509286419009</v>
      </c>
      <c r="J13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199848.38332273948</v>
      </c>
      <c r="K138" s="177">
        <f>IF(PaymentSchedule[[#This Row],[PMT NO]]&lt;&gt;"",SUM(INDEX(PaymentSchedule[INTEREST],1,1):PaymentSchedule[[#This Row],[INTEREST]]),"")</f>
        <v>120289.24862909356</v>
      </c>
      <c r="L138" s="178"/>
    </row>
    <row r="139" spans="2:12" x14ac:dyDescent="0.2">
      <c r="B139" s="175">
        <f>IF(LoanIsGood,IF(ROW()-ROW(PaymentSchedule[[#Headers],[PMT NO]])&gt;ScheduledNumberOfPayments,"",ROW()-ROW(PaymentSchedule[[#Headers],[PMT NO]])),"")</f>
        <v>128</v>
      </c>
      <c r="C139" s="176">
        <f>IF(PaymentSchedule[[#This Row],[PMT NO]]&lt;&gt;"",EOMONTH(LoanStartDate,ROW(PaymentSchedule[[#This Row],[PMT NO]])-ROW(PaymentSchedule[[#Headers],[PMT NO]])-2)+DAY(LoanStartDate),"")</f>
        <v>48884</v>
      </c>
      <c r="D139" s="177">
        <f>IF(PaymentSchedule[[#This Row],[PMT NO]]&lt;&gt;"",IF(ROW()-ROW(PaymentSchedule[[#Headers],[BEGINNING BALANCE]])=1,LoanAmount,INDEX(PaymentSchedule[ENDING BALANCE],ROW()-ROW(PaymentSchedule[[#Headers],[BEGINNING BALANCE]])-1)),"")</f>
        <v>199848.38332273948</v>
      </c>
      <c r="E139" s="177">
        <f>IF(PaymentSchedule[[#This Row],[PMT NO]]&lt;&gt;"",ScheduledPayment,"")</f>
        <v>1342.0540575303476</v>
      </c>
      <c r="F13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39" s="177">
        <f>IF(PaymentSchedule[[#This Row],[PMT NO]]&lt;&gt;"",PaymentSchedule[[#This Row],[TOTAL PAYMENT]]-PaymentSchedule[[#This Row],[INTEREST]],"")</f>
        <v>509.35246035226646</v>
      </c>
      <c r="I139" s="177">
        <f>IF(PaymentSchedule[[#This Row],[PMT NO]]&lt;&gt;"",PaymentSchedule[[#This Row],[BEGINNING BALANCE]]*(InterestRate/PaymentsPerYear),"")</f>
        <v>832.7015971780811</v>
      </c>
      <c r="J13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199339.03086238721</v>
      </c>
      <c r="K139" s="177">
        <f>IF(PaymentSchedule[[#This Row],[PMT NO]]&lt;&gt;"",SUM(INDEX(PaymentSchedule[INTEREST],1,1):PaymentSchedule[[#This Row],[INTEREST]]),"")</f>
        <v>121121.95022627164</v>
      </c>
      <c r="L139" s="178"/>
    </row>
    <row r="140" spans="2:12" x14ac:dyDescent="0.2">
      <c r="B140" s="175">
        <f>IF(LoanIsGood,IF(ROW()-ROW(PaymentSchedule[[#Headers],[PMT NO]])&gt;ScheduledNumberOfPayments,"",ROW()-ROW(PaymentSchedule[[#Headers],[PMT NO]])),"")</f>
        <v>129</v>
      </c>
      <c r="C140" s="176">
        <f>IF(PaymentSchedule[[#This Row],[PMT NO]]&lt;&gt;"",EOMONTH(LoanStartDate,ROW(PaymentSchedule[[#This Row],[PMT NO]])-ROW(PaymentSchedule[[#Headers],[PMT NO]])-2)+DAY(LoanStartDate),"")</f>
        <v>48914</v>
      </c>
      <c r="D140" s="177">
        <f>IF(PaymentSchedule[[#This Row],[PMT NO]]&lt;&gt;"",IF(ROW()-ROW(PaymentSchedule[[#Headers],[BEGINNING BALANCE]])=1,LoanAmount,INDEX(PaymentSchedule[ENDING BALANCE],ROW()-ROW(PaymentSchedule[[#Headers],[BEGINNING BALANCE]])-1)),"")</f>
        <v>199339.03086238721</v>
      </c>
      <c r="E140" s="177">
        <f>IF(PaymentSchedule[[#This Row],[PMT NO]]&lt;&gt;"",ScheduledPayment,"")</f>
        <v>1342.0540575303476</v>
      </c>
      <c r="F14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0" s="177">
        <f>IF(PaymentSchedule[[#This Row],[PMT NO]]&lt;&gt;"",PaymentSchedule[[#This Row],[TOTAL PAYMENT]]-PaymentSchedule[[#This Row],[INTEREST]],"")</f>
        <v>511.4747622704009</v>
      </c>
      <c r="I140" s="177">
        <f>IF(PaymentSchedule[[#This Row],[PMT NO]]&lt;&gt;"",PaymentSchedule[[#This Row],[BEGINNING BALANCE]]*(InterestRate/PaymentsPerYear),"")</f>
        <v>830.57929525994666</v>
      </c>
      <c r="J14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198827.55610011681</v>
      </c>
      <c r="K140" s="177">
        <f>IF(PaymentSchedule[[#This Row],[PMT NO]]&lt;&gt;"",SUM(INDEX(PaymentSchedule[INTEREST],1,1):PaymentSchedule[[#This Row],[INTEREST]]),"")</f>
        <v>121952.52952153159</v>
      </c>
      <c r="L140" s="178"/>
    </row>
    <row r="141" spans="2:12" x14ac:dyDescent="0.2">
      <c r="B141" s="175">
        <f>IF(LoanIsGood,IF(ROW()-ROW(PaymentSchedule[[#Headers],[PMT NO]])&gt;ScheduledNumberOfPayments,"",ROW()-ROW(PaymentSchedule[[#Headers],[PMT NO]])),"")</f>
        <v>130</v>
      </c>
      <c r="C141" s="176">
        <f>IF(PaymentSchedule[[#This Row],[PMT NO]]&lt;&gt;"",EOMONTH(LoanStartDate,ROW(PaymentSchedule[[#This Row],[PMT NO]])-ROW(PaymentSchedule[[#Headers],[PMT NO]])-2)+DAY(LoanStartDate),"")</f>
        <v>48945</v>
      </c>
      <c r="D141" s="177">
        <f>IF(PaymentSchedule[[#This Row],[PMT NO]]&lt;&gt;"",IF(ROW()-ROW(PaymentSchedule[[#Headers],[BEGINNING BALANCE]])=1,LoanAmount,INDEX(PaymentSchedule[ENDING BALANCE],ROW()-ROW(PaymentSchedule[[#Headers],[BEGINNING BALANCE]])-1)),"")</f>
        <v>198827.55610011681</v>
      </c>
      <c r="E141" s="177">
        <f>IF(PaymentSchedule[[#This Row],[PMT NO]]&lt;&gt;"",ScheduledPayment,"")</f>
        <v>1342.0540575303476</v>
      </c>
      <c r="F14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1" s="177">
        <f>IF(PaymentSchedule[[#This Row],[PMT NO]]&lt;&gt;"",PaymentSchedule[[#This Row],[TOTAL PAYMENT]]-PaymentSchedule[[#This Row],[INTEREST]],"")</f>
        <v>513.60590711319423</v>
      </c>
      <c r="I141" s="177">
        <f>IF(PaymentSchedule[[#This Row],[PMT NO]]&lt;&gt;"",PaymentSchedule[[#This Row],[BEGINNING BALANCE]]*(InterestRate/PaymentsPerYear),"")</f>
        <v>828.44815041715333</v>
      </c>
      <c r="J14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198313.95019300361</v>
      </c>
      <c r="K141" s="177">
        <f>IF(PaymentSchedule[[#This Row],[PMT NO]]&lt;&gt;"",SUM(INDEX(PaymentSchedule[INTEREST],1,1):PaymentSchedule[[#This Row],[INTEREST]]),"")</f>
        <v>122780.97767194874</v>
      </c>
      <c r="L141" s="178"/>
    </row>
    <row r="142" spans="2:12" x14ac:dyDescent="0.2">
      <c r="B142" s="175">
        <f>IF(LoanIsGood,IF(ROW()-ROW(PaymentSchedule[[#Headers],[PMT NO]])&gt;ScheduledNumberOfPayments,"",ROW()-ROW(PaymentSchedule[[#Headers],[PMT NO]])),"")</f>
        <v>131</v>
      </c>
      <c r="C142" s="176">
        <f>IF(PaymentSchedule[[#This Row],[PMT NO]]&lt;&gt;"",EOMONTH(LoanStartDate,ROW(PaymentSchedule[[#This Row],[PMT NO]])-ROW(PaymentSchedule[[#Headers],[PMT NO]])-2)+DAY(LoanStartDate),"")</f>
        <v>48976</v>
      </c>
      <c r="D142" s="177">
        <f>IF(PaymentSchedule[[#This Row],[PMT NO]]&lt;&gt;"",IF(ROW()-ROW(PaymentSchedule[[#Headers],[BEGINNING BALANCE]])=1,LoanAmount,INDEX(PaymentSchedule[ENDING BALANCE],ROW()-ROW(PaymentSchedule[[#Headers],[BEGINNING BALANCE]])-1)),"")</f>
        <v>198313.95019300361</v>
      </c>
      <c r="E142" s="177">
        <f>IF(PaymentSchedule[[#This Row],[PMT NO]]&lt;&gt;"",ScheduledPayment,"")</f>
        <v>1342.0540575303476</v>
      </c>
      <c r="F14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2" s="177">
        <f>IF(PaymentSchedule[[#This Row],[PMT NO]]&lt;&gt;"",PaymentSchedule[[#This Row],[TOTAL PAYMENT]]-PaymentSchedule[[#This Row],[INTEREST]],"")</f>
        <v>515.74593172616585</v>
      </c>
      <c r="I142" s="177">
        <f>IF(PaymentSchedule[[#This Row],[PMT NO]]&lt;&gt;"",PaymentSchedule[[#This Row],[BEGINNING BALANCE]]*(InterestRate/PaymentsPerYear),"")</f>
        <v>826.30812580418171</v>
      </c>
      <c r="J14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197798.20426127745</v>
      </c>
      <c r="K142" s="177">
        <f>IF(PaymentSchedule[[#This Row],[PMT NO]]&lt;&gt;"",SUM(INDEX(PaymentSchedule[INTEREST],1,1):PaymentSchedule[[#This Row],[INTEREST]]),"")</f>
        <v>123607.28579775292</v>
      </c>
      <c r="L142" s="178"/>
    </row>
    <row r="143" spans="2:12" x14ac:dyDescent="0.2">
      <c r="B143" s="175">
        <f>IF(LoanIsGood,IF(ROW()-ROW(PaymentSchedule[[#Headers],[PMT NO]])&gt;ScheduledNumberOfPayments,"",ROW()-ROW(PaymentSchedule[[#Headers],[PMT NO]])),"")</f>
        <v>132</v>
      </c>
      <c r="C143" s="176">
        <f>IF(PaymentSchedule[[#This Row],[PMT NO]]&lt;&gt;"",EOMONTH(LoanStartDate,ROW(PaymentSchedule[[#This Row],[PMT NO]])-ROW(PaymentSchedule[[#Headers],[PMT NO]])-2)+DAY(LoanStartDate),"")</f>
        <v>49004</v>
      </c>
      <c r="D143" s="177">
        <f>IF(PaymentSchedule[[#This Row],[PMT NO]]&lt;&gt;"",IF(ROW()-ROW(PaymentSchedule[[#Headers],[BEGINNING BALANCE]])=1,LoanAmount,INDEX(PaymentSchedule[ENDING BALANCE],ROW()-ROW(PaymentSchedule[[#Headers],[BEGINNING BALANCE]])-1)),"")</f>
        <v>197798.20426127745</v>
      </c>
      <c r="E143" s="177">
        <f>IF(PaymentSchedule[[#This Row],[PMT NO]]&lt;&gt;"",ScheduledPayment,"")</f>
        <v>1342.0540575303476</v>
      </c>
      <c r="F14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3" s="177">
        <f>IF(PaymentSchedule[[#This Row],[PMT NO]]&lt;&gt;"",PaymentSchedule[[#This Row],[TOTAL PAYMENT]]-PaymentSchedule[[#This Row],[INTEREST]],"")</f>
        <v>517.89487310835818</v>
      </c>
      <c r="I143" s="177">
        <f>IF(PaymentSchedule[[#This Row],[PMT NO]]&lt;&gt;"",PaymentSchedule[[#This Row],[BEGINNING BALANCE]]*(InterestRate/PaymentsPerYear),"")</f>
        <v>824.15918442198938</v>
      </c>
      <c r="J14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197280.30938816909</v>
      </c>
      <c r="K143" s="177">
        <f>IF(PaymentSchedule[[#This Row],[PMT NO]]&lt;&gt;"",SUM(INDEX(PaymentSchedule[INTEREST],1,1):PaymentSchedule[[#This Row],[INTEREST]]),"")</f>
        <v>124431.44498217491</v>
      </c>
      <c r="L143" s="178"/>
    </row>
    <row r="144" spans="2:12" x14ac:dyDescent="0.2">
      <c r="B144" s="175">
        <f>IF(LoanIsGood,IF(ROW()-ROW(PaymentSchedule[[#Headers],[PMT NO]])&gt;ScheduledNumberOfPayments,"",ROW()-ROW(PaymentSchedule[[#Headers],[PMT NO]])),"")</f>
        <v>133</v>
      </c>
      <c r="C144" s="176">
        <f>IF(PaymentSchedule[[#This Row],[PMT NO]]&lt;&gt;"",EOMONTH(LoanStartDate,ROW(PaymentSchedule[[#This Row],[PMT NO]])-ROW(PaymentSchedule[[#Headers],[PMT NO]])-2)+DAY(LoanStartDate),"")</f>
        <v>49035</v>
      </c>
      <c r="D144" s="177">
        <f>IF(PaymentSchedule[[#This Row],[PMT NO]]&lt;&gt;"",IF(ROW()-ROW(PaymentSchedule[[#Headers],[BEGINNING BALANCE]])=1,LoanAmount,INDEX(PaymentSchedule[ENDING BALANCE],ROW()-ROW(PaymentSchedule[[#Headers],[BEGINNING BALANCE]])-1)),"")</f>
        <v>197280.30938816909</v>
      </c>
      <c r="E144" s="177">
        <f>IF(PaymentSchedule[[#This Row],[PMT NO]]&lt;&gt;"",ScheduledPayment,"")</f>
        <v>1342.0540575303476</v>
      </c>
      <c r="F14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4" s="177">
        <f>IF(PaymentSchedule[[#This Row],[PMT NO]]&lt;&gt;"",PaymentSchedule[[#This Row],[TOTAL PAYMENT]]-PaymentSchedule[[#This Row],[INTEREST]],"")</f>
        <v>520.05276841297643</v>
      </c>
      <c r="I144" s="177">
        <f>IF(PaymentSchedule[[#This Row],[PMT NO]]&lt;&gt;"",PaymentSchedule[[#This Row],[BEGINNING BALANCE]]*(InterestRate/PaymentsPerYear),"")</f>
        <v>822.00128911737113</v>
      </c>
      <c r="J14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196760.25661975611</v>
      </c>
      <c r="K144" s="177">
        <f>IF(PaymentSchedule[[#This Row],[PMT NO]]&lt;&gt;"",SUM(INDEX(PaymentSchedule[INTEREST],1,1):PaymentSchedule[[#This Row],[INTEREST]]),"")</f>
        <v>125253.44627129228</v>
      </c>
      <c r="L144" s="178"/>
    </row>
    <row r="145" spans="2:12" x14ac:dyDescent="0.2">
      <c r="B145" s="175">
        <f>IF(LoanIsGood,IF(ROW()-ROW(PaymentSchedule[[#Headers],[PMT NO]])&gt;ScheduledNumberOfPayments,"",ROW()-ROW(PaymentSchedule[[#Headers],[PMT NO]])),"")</f>
        <v>134</v>
      </c>
      <c r="C145" s="176">
        <f>IF(PaymentSchedule[[#This Row],[PMT NO]]&lt;&gt;"",EOMONTH(LoanStartDate,ROW(PaymentSchedule[[#This Row],[PMT NO]])-ROW(PaymentSchedule[[#Headers],[PMT NO]])-2)+DAY(LoanStartDate),"")</f>
        <v>49065</v>
      </c>
      <c r="D145" s="177">
        <f>IF(PaymentSchedule[[#This Row],[PMT NO]]&lt;&gt;"",IF(ROW()-ROW(PaymentSchedule[[#Headers],[BEGINNING BALANCE]])=1,LoanAmount,INDEX(PaymentSchedule[ENDING BALANCE],ROW()-ROW(PaymentSchedule[[#Headers],[BEGINNING BALANCE]])-1)),"")</f>
        <v>196760.25661975611</v>
      </c>
      <c r="E145" s="177">
        <f>IF(PaymentSchedule[[#This Row],[PMT NO]]&lt;&gt;"",ScheduledPayment,"")</f>
        <v>1342.0540575303476</v>
      </c>
      <c r="F14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5" s="177">
        <f>IF(PaymentSchedule[[#This Row],[PMT NO]]&lt;&gt;"",PaymentSchedule[[#This Row],[TOTAL PAYMENT]]-PaymentSchedule[[#This Row],[INTEREST]],"")</f>
        <v>522.21965494803044</v>
      </c>
      <c r="I145" s="177">
        <f>IF(PaymentSchedule[[#This Row],[PMT NO]]&lt;&gt;"",PaymentSchedule[[#This Row],[BEGINNING BALANCE]]*(InterestRate/PaymentsPerYear),"")</f>
        <v>819.83440258231713</v>
      </c>
      <c r="J14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196238.03696480807</v>
      </c>
      <c r="K145" s="177">
        <f>IF(PaymentSchedule[[#This Row],[PMT NO]]&lt;&gt;"",SUM(INDEX(PaymentSchedule[INTEREST],1,1):PaymentSchedule[[#This Row],[INTEREST]]),"")</f>
        <v>126073.2806738746</v>
      </c>
      <c r="L145" s="178"/>
    </row>
    <row r="146" spans="2:12" x14ac:dyDescent="0.2">
      <c r="B146" s="175">
        <f>IF(LoanIsGood,IF(ROW()-ROW(PaymentSchedule[[#Headers],[PMT NO]])&gt;ScheduledNumberOfPayments,"",ROW()-ROW(PaymentSchedule[[#Headers],[PMT NO]])),"")</f>
        <v>135</v>
      </c>
      <c r="C146" s="176">
        <f>IF(PaymentSchedule[[#This Row],[PMT NO]]&lt;&gt;"",EOMONTH(LoanStartDate,ROW(PaymentSchedule[[#This Row],[PMT NO]])-ROW(PaymentSchedule[[#Headers],[PMT NO]])-2)+DAY(LoanStartDate),"")</f>
        <v>49096</v>
      </c>
      <c r="D146" s="177">
        <f>IF(PaymentSchedule[[#This Row],[PMT NO]]&lt;&gt;"",IF(ROW()-ROW(PaymentSchedule[[#Headers],[BEGINNING BALANCE]])=1,LoanAmount,INDEX(PaymentSchedule[ENDING BALANCE],ROW()-ROW(PaymentSchedule[[#Headers],[BEGINNING BALANCE]])-1)),"")</f>
        <v>196238.03696480807</v>
      </c>
      <c r="E146" s="177">
        <f>IF(PaymentSchedule[[#This Row],[PMT NO]]&lt;&gt;"",ScheduledPayment,"")</f>
        <v>1342.0540575303476</v>
      </c>
      <c r="F14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6" s="177">
        <f>IF(PaymentSchedule[[#This Row],[PMT NO]]&lt;&gt;"",PaymentSchedule[[#This Row],[TOTAL PAYMENT]]-PaymentSchedule[[#This Row],[INTEREST]],"")</f>
        <v>524.39557017698064</v>
      </c>
      <c r="I146" s="177">
        <f>IF(PaymentSchedule[[#This Row],[PMT NO]]&lt;&gt;"",PaymentSchedule[[#This Row],[BEGINNING BALANCE]]*(InterestRate/PaymentsPerYear),"")</f>
        <v>817.65848735336692</v>
      </c>
      <c r="J14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195713.64139463109</v>
      </c>
      <c r="K146" s="177">
        <f>IF(PaymentSchedule[[#This Row],[PMT NO]]&lt;&gt;"",SUM(INDEX(PaymentSchedule[INTEREST],1,1):PaymentSchedule[[#This Row],[INTEREST]]),"")</f>
        <v>126890.93916122797</v>
      </c>
      <c r="L146" s="178"/>
    </row>
    <row r="147" spans="2:12" x14ac:dyDescent="0.2">
      <c r="B147" s="175">
        <f>IF(LoanIsGood,IF(ROW()-ROW(PaymentSchedule[[#Headers],[PMT NO]])&gt;ScheduledNumberOfPayments,"",ROW()-ROW(PaymentSchedule[[#Headers],[PMT NO]])),"")</f>
        <v>136</v>
      </c>
      <c r="C147" s="176">
        <f>IF(PaymentSchedule[[#This Row],[PMT NO]]&lt;&gt;"",EOMONTH(LoanStartDate,ROW(PaymentSchedule[[#This Row],[PMT NO]])-ROW(PaymentSchedule[[#Headers],[PMT NO]])-2)+DAY(LoanStartDate),"")</f>
        <v>49126</v>
      </c>
      <c r="D147" s="177">
        <f>IF(PaymentSchedule[[#This Row],[PMT NO]]&lt;&gt;"",IF(ROW()-ROW(PaymentSchedule[[#Headers],[BEGINNING BALANCE]])=1,LoanAmount,INDEX(PaymentSchedule[ENDING BALANCE],ROW()-ROW(PaymentSchedule[[#Headers],[BEGINNING BALANCE]])-1)),"")</f>
        <v>195713.64139463109</v>
      </c>
      <c r="E147" s="177">
        <f>IF(PaymentSchedule[[#This Row],[PMT NO]]&lt;&gt;"",ScheduledPayment,"")</f>
        <v>1342.0540575303476</v>
      </c>
      <c r="F14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7" s="177">
        <f>IF(PaymentSchedule[[#This Row],[PMT NO]]&lt;&gt;"",PaymentSchedule[[#This Row],[TOTAL PAYMENT]]-PaymentSchedule[[#This Row],[INTEREST]],"")</f>
        <v>526.58055171938463</v>
      </c>
      <c r="I147" s="177">
        <f>IF(PaymentSchedule[[#This Row],[PMT NO]]&lt;&gt;"",PaymentSchedule[[#This Row],[BEGINNING BALANCE]]*(InterestRate/PaymentsPerYear),"")</f>
        <v>815.47350581096293</v>
      </c>
      <c r="J14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195187.06084291171</v>
      </c>
      <c r="K147" s="177">
        <f>IF(PaymentSchedule[[#This Row],[PMT NO]]&lt;&gt;"",SUM(INDEX(PaymentSchedule[INTEREST],1,1):PaymentSchedule[[#This Row],[INTEREST]]),"")</f>
        <v>127706.41266703894</v>
      </c>
      <c r="L147" s="178"/>
    </row>
    <row r="148" spans="2:12" x14ac:dyDescent="0.2">
      <c r="B148" s="175">
        <f>IF(LoanIsGood,IF(ROW()-ROW(PaymentSchedule[[#Headers],[PMT NO]])&gt;ScheduledNumberOfPayments,"",ROW()-ROW(PaymentSchedule[[#Headers],[PMT NO]])),"")</f>
        <v>137</v>
      </c>
      <c r="C148" s="176">
        <f>IF(PaymentSchedule[[#This Row],[PMT NO]]&lt;&gt;"",EOMONTH(LoanStartDate,ROW(PaymentSchedule[[#This Row],[PMT NO]])-ROW(PaymentSchedule[[#Headers],[PMT NO]])-2)+DAY(LoanStartDate),"")</f>
        <v>49157</v>
      </c>
      <c r="D148" s="177">
        <f>IF(PaymentSchedule[[#This Row],[PMT NO]]&lt;&gt;"",IF(ROW()-ROW(PaymentSchedule[[#Headers],[BEGINNING BALANCE]])=1,LoanAmount,INDEX(PaymentSchedule[ENDING BALANCE],ROW()-ROW(PaymentSchedule[[#Headers],[BEGINNING BALANCE]])-1)),"")</f>
        <v>195187.06084291171</v>
      </c>
      <c r="E148" s="177">
        <f>IF(PaymentSchedule[[#This Row],[PMT NO]]&lt;&gt;"",ScheduledPayment,"")</f>
        <v>1342.0540575303476</v>
      </c>
      <c r="F14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8" s="177">
        <f>IF(PaymentSchedule[[#This Row],[PMT NO]]&lt;&gt;"",PaymentSchedule[[#This Row],[TOTAL PAYMENT]]-PaymentSchedule[[#This Row],[INTEREST]],"")</f>
        <v>528.77463735154879</v>
      </c>
      <c r="I148" s="177">
        <f>IF(PaymentSchedule[[#This Row],[PMT NO]]&lt;&gt;"",PaymentSchedule[[#This Row],[BEGINNING BALANCE]]*(InterestRate/PaymentsPerYear),"")</f>
        <v>813.27942017879877</v>
      </c>
      <c r="J14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194658.28620556017</v>
      </c>
      <c r="K148" s="177">
        <f>IF(PaymentSchedule[[#This Row],[PMT NO]]&lt;&gt;"",SUM(INDEX(PaymentSchedule[INTEREST],1,1):PaymentSchedule[[#This Row],[INTEREST]]),"")</f>
        <v>128519.69208721774</v>
      </c>
      <c r="L148" s="178"/>
    </row>
    <row r="149" spans="2:12" x14ac:dyDescent="0.2">
      <c r="B149" s="175">
        <f>IF(LoanIsGood,IF(ROW()-ROW(PaymentSchedule[[#Headers],[PMT NO]])&gt;ScheduledNumberOfPayments,"",ROW()-ROW(PaymentSchedule[[#Headers],[PMT NO]])),"")</f>
        <v>138</v>
      </c>
      <c r="C149" s="176">
        <f>IF(PaymentSchedule[[#This Row],[PMT NO]]&lt;&gt;"",EOMONTH(LoanStartDate,ROW(PaymentSchedule[[#This Row],[PMT NO]])-ROW(PaymentSchedule[[#Headers],[PMT NO]])-2)+DAY(LoanStartDate),"")</f>
        <v>49188</v>
      </c>
      <c r="D149" s="177">
        <f>IF(PaymentSchedule[[#This Row],[PMT NO]]&lt;&gt;"",IF(ROW()-ROW(PaymentSchedule[[#Headers],[BEGINNING BALANCE]])=1,LoanAmount,INDEX(PaymentSchedule[ENDING BALANCE],ROW()-ROW(PaymentSchedule[[#Headers],[BEGINNING BALANCE]])-1)),"")</f>
        <v>194658.28620556017</v>
      </c>
      <c r="E149" s="177">
        <f>IF(PaymentSchedule[[#This Row],[PMT NO]]&lt;&gt;"",ScheduledPayment,"")</f>
        <v>1342.0540575303476</v>
      </c>
      <c r="F14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49" s="177">
        <f>IF(PaymentSchedule[[#This Row],[PMT NO]]&lt;&gt;"",PaymentSchedule[[#This Row],[TOTAL PAYMENT]]-PaymentSchedule[[#This Row],[INTEREST]],"")</f>
        <v>530.97786500718018</v>
      </c>
      <c r="I149" s="177">
        <f>IF(PaymentSchedule[[#This Row],[PMT NO]]&lt;&gt;"",PaymentSchedule[[#This Row],[BEGINNING BALANCE]]*(InterestRate/PaymentsPerYear),"")</f>
        <v>811.07619252316738</v>
      </c>
      <c r="J14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194127.30834055299</v>
      </c>
      <c r="K149" s="177">
        <f>IF(PaymentSchedule[[#This Row],[PMT NO]]&lt;&gt;"",SUM(INDEX(PaymentSchedule[INTEREST],1,1):PaymentSchedule[[#This Row],[INTEREST]]),"")</f>
        <v>129330.76827974091</v>
      </c>
      <c r="L149" s="178"/>
    </row>
    <row r="150" spans="2:12" x14ac:dyDescent="0.2">
      <c r="B150" s="175">
        <f>IF(LoanIsGood,IF(ROW()-ROW(PaymentSchedule[[#Headers],[PMT NO]])&gt;ScheduledNumberOfPayments,"",ROW()-ROW(PaymentSchedule[[#Headers],[PMT NO]])),"")</f>
        <v>139</v>
      </c>
      <c r="C150" s="176">
        <f>IF(PaymentSchedule[[#This Row],[PMT NO]]&lt;&gt;"",EOMONTH(LoanStartDate,ROW(PaymentSchedule[[#This Row],[PMT NO]])-ROW(PaymentSchedule[[#Headers],[PMT NO]])-2)+DAY(LoanStartDate),"")</f>
        <v>49218</v>
      </c>
      <c r="D150" s="177">
        <f>IF(PaymentSchedule[[#This Row],[PMT NO]]&lt;&gt;"",IF(ROW()-ROW(PaymentSchedule[[#Headers],[BEGINNING BALANCE]])=1,LoanAmount,INDEX(PaymentSchedule[ENDING BALANCE],ROW()-ROW(PaymentSchedule[[#Headers],[BEGINNING BALANCE]])-1)),"")</f>
        <v>194127.30834055299</v>
      </c>
      <c r="E150" s="177">
        <f>IF(PaymentSchedule[[#This Row],[PMT NO]]&lt;&gt;"",ScheduledPayment,"")</f>
        <v>1342.0540575303476</v>
      </c>
      <c r="F15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0" s="177">
        <f>IF(PaymentSchedule[[#This Row],[PMT NO]]&lt;&gt;"",PaymentSchedule[[#This Row],[TOTAL PAYMENT]]-PaymentSchedule[[#This Row],[INTEREST]],"")</f>
        <v>533.19027277804344</v>
      </c>
      <c r="I150" s="177">
        <f>IF(PaymentSchedule[[#This Row],[PMT NO]]&lt;&gt;"",PaymentSchedule[[#This Row],[BEGINNING BALANCE]]*(InterestRate/PaymentsPerYear),"")</f>
        <v>808.86378475230413</v>
      </c>
      <c r="J15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193594.11806777495</v>
      </c>
      <c r="K150" s="177">
        <f>IF(PaymentSchedule[[#This Row],[PMT NO]]&lt;&gt;"",SUM(INDEX(PaymentSchedule[INTEREST],1,1):PaymentSchedule[[#This Row],[INTEREST]]),"")</f>
        <v>130139.63206449321</v>
      </c>
      <c r="L150" s="178"/>
    </row>
    <row r="151" spans="2:12" x14ac:dyDescent="0.2">
      <c r="B151" s="175">
        <f>IF(LoanIsGood,IF(ROW()-ROW(PaymentSchedule[[#Headers],[PMT NO]])&gt;ScheduledNumberOfPayments,"",ROW()-ROW(PaymentSchedule[[#Headers],[PMT NO]])),"")</f>
        <v>140</v>
      </c>
      <c r="C151" s="176">
        <f>IF(PaymentSchedule[[#This Row],[PMT NO]]&lt;&gt;"",EOMONTH(LoanStartDate,ROW(PaymentSchedule[[#This Row],[PMT NO]])-ROW(PaymentSchedule[[#Headers],[PMT NO]])-2)+DAY(LoanStartDate),"")</f>
        <v>49249</v>
      </c>
      <c r="D151" s="177">
        <f>IF(PaymentSchedule[[#This Row],[PMT NO]]&lt;&gt;"",IF(ROW()-ROW(PaymentSchedule[[#Headers],[BEGINNING BALANCE]])=1,LoanAmount,INDEX(PaymentSchedule[ENDING BALANCE],ROW()-ROW(PaymentSchedule[[#Headers],[BEGINNING BALANCE]])-1)),"")</f>
        <v>193594.11806777495</v>
      </c>
      <c r="E151" s="177">
        <f>IF(PaymentSchedule[[#This Row],[PMT NO]]&lt;&gt;"",ScheduledPayment,"")</f>
        <v>1342.0540575303476</v>
      </c>
      <c r="F15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1" s="177">
        <f>IF(PaymentSchedule[[#This Row],[PMT NO]]&lt;&gt;"",PaymentSchedule[[#This Row],[TOTAL PAYMENT]]-PaymentSchedule[[#This Row],[INTEREST]],"")</f>
        <v>535.41189891461863</v>
      </c>
      <c r="I151" s="177">
        <f>IF(PaymentSchedule[[#This Row],[PMT NO]]&lt;&gt;"",PaymentSchedule[[#This Row],[BEGINNING BALANCE]]*(InterestRate/PaymentsPerYear),"")</f>
        <v>806.64215861572893</v>
      </c>
      <c r="J15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193058.70616886034</v>
      </c>
      <c r="K151" s="177">
        <f>IF(PaymentSchedule[[#This Row],[PMT NO]]&lt;&gt;"",SUM(INDEX(PaymentSchedule[INTEREST],1,1):PaymentSchedule[[#This Row],[INTEREST]]),"")</f>
        <v>130946.27422310894</v>
      </c>
      <c r="L151" s="178"/>
    </row>
    <row r="152" spans="2:12" x14ac:dyDescent="0.2">
      <c r="B152" s="175">
        <f>IF(LoanIsGood,IF(ROW()-ROW(PaymentSchedule[[#Headers],[PMT NO]])&gt;ScheduledNumberOfPayments,"",ROW()-ROW(PaymentSchedule[[#Headers],[PMT NO]])),"")</f>
        <v>141</v>
      </c>
      <c r="C152" s="176">
        <f>IF(PaymentSchedule[[#This Row],[PMT NO]]&lt;&gt;"",EOMONTH(LoanStartDate,ROW(PaymentSchedule[[#This Row],[PMT NO]])-ROW(PaymentSchedule[[#Headers],[PMT NO]])-2)+DAY(LoanStartDate),"")</f>
        <v>49279</v>
      </c>
      <c r="D152" s="177">
        <f>IF(PaymentSchedule[[#This Row],[PMT NO]]&lt;&gt;"",IF(ROW()-ROW(PaymentSchedule[[#Headers],[BEGINNING BALANCE]])=1,LoanAmount,INDEX(PaymentSchedule[ENDING BALANCE],ROW()-ROW(PaymentSchedule[[#Headers],[BEGINNING BALANCE]])-1)),"")</f>
        <v>193058.70616886034</v>
      </c>
      <c r="E152" s="177">
        <f>IF(PaymentSchedule[[#This Row],[PMT NO]]&lt;&gt;"",ScheduledPayment,"")</f>
        <v>1342.0540575303476</v>
      </c>
      <c r="F15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2" s="177">
        <f>IF(PaymentSchedule[[#This Row],[PMT NO]]&lt;&gt;"",PaymentSchedule[[#This Row],[TOTAL PAYMENT]]-PaymentSchedule[[#This Row],[INTEREST]],"")</f>
        <v>537.64278182676276</v>
      </c>
      <c r="I152" s="177">
        <f>IF(PaymentSchedule[[#This Row],[PMT NO]]&lt;&gt;"",PaymentSchedule[[#This Row],[BEGINNING BALANCE]]*(InterestRate/PaymentsPerYear),"")</f>
        <v>804.41127570358481</v>
      </c>
      <c r="J15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192521.06338703359</v>
      </c>
      <c r="K152" s="177">
        <f>IF(PaymentSchedule[[#This Row],[PMT NO]]&lt;&gt;"",SUM(INDEX(PaymentSchedule[INTEREST],1,1):PaymentSchedule[[#This Row],[INTEREST]]),"")</f>
        <v>131750.68549881253</v>
      </c>
      <c r="L152" s="178"/>
    </row>
    <row r="153" spans="2:12" x14ac:dyDescent="0.2">
      <c r="B153" s="175">
        <f>IF(LoanIsGood,IF(ROW()-ROW(PaymentSchedule[[#Headers],[PMT NO]])&gt;ScheduledNumberOfPayments,"",ROW()-ROW(PaymentSchedule[[#Headers],[PMT NO]])),"")</f>
        <v>142</v>
      </c>
      <c r="C153" s="176">
        <f>IF(PaymentSchedule[[#This Row],[PMT NO]]&lt;&gt;"",EOMONTH(LoanStartDate,ROW(PaymentSchedule[[#This Row],[PMT NO]])-ROW(PaymentSchedule[[#Headers],[PMT NO]])-2)+DAY(LoanStartDate),"")</f>
        <v>49310</v>
      </c>
      <c r="D153" s="177">
        <f>IF(PaymentSchedule[[#This Row],[PMT NO]]&lt;&gt;"",IF(ROW()-ROW(PaymentSchedule[[#Headers],[BEGINNING BALANCE]])=1,LoanAmount,INDEX(PaymentSchedule[ENDING BALANCE],ROW()-ROW(PaymentSchedule[[#Headers],[BEGINNING BALANCE]])-1)),"")</f>
        <v>192521.06338703359</v>
      </c>
      <c r="E153" s="177">
        <f>IF(PaymentSchedule[[#This Row],[PMT NO]]&lt;&gt;"",ScheduledPayment,"")</f>
        <v>1342.0540575303476</v>
      </c>
      <c r="F15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3" s="177">
        <f>IF(PaymentSchedule[[#This Row],[PMT NO]]&lt;&gt;"",PaymentSchedule[[#This Row],[TOTAL PAYMENT]]-PaymentSchedule[[#This Row],[INTEREST]],"")</f>
        <v>539.8829600843743</v>
      </c>
      <c r="I153" s="177">
        <f>IF(PaymentSchedule[[#This Row],[PMT NO]]&lt;&gt;"",PaymentSchedule[[#This Row],[BEGINNING BALANCE]]*(InterestRate/PaymentsPerYear),"")</f>
        <v>802.17109744597326</v>
      </c>
      <c r="J15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191981.18042694923</v>
      </c>
      <c r="K153" s="177">
        <f>IF(PaymentSchedule[[#This Row],[PMT NO]]&lt;&gt;"",SUM(INDEX(PaymentSchedule[INTEREST],1,1):PaymentSchedule[[#This Row],[INTEREST]]),"")</f>
        <v>132552.8565962585</v>
      </c>
      <c r="L153" s="178"/>
    </row>
    <row r="154" spans="2:12" x14ac:dyDescent="0.2">
      <c r="B154" s="175">
        <f>IF(LoanIsGood,IF(ROW()-ROW(PaymentSchedule[[#Headers],[PMT NO]])&gt;ScheduledNumberOfPayments,"",ROW()-ROW(PaymentSchedule[[#Headers],[PMT NO]])),"")</f>
        <v>143</v>
      </c>
      <c r="C154" s="176">
        <f>IF(PaymentSchedule[[#This Row],[PMT NO]]&lt;&gt;"",EOMONTH(LoanStartDate,ROW(PaymentSchedule[[#This Row],[PMT NO]])-ROW(PaymentSchedule[[#Headers],[PMT NO]])-2)+DAY(LoanStartDate),"")</f>
        <v>49341</v>
      </c>
      <c r="D154" s="177">
        <f>IF(PaymentSchedule[[#This Row],[PMT NO]]&lt;&gt;"",IF(ROW()-ROW(PaymentSchedule[[#Headers],[BEGINNING BALANCE]])=1,LoanAmount,INDEX(PaymentSchedule[ENDING BALANCE],ROW()-ROW(PaymentSchedule[[#Headers],[BEGINNING BALANCE]])-1)),"")</f>
        <v>191981.18042694923</v>
      </c>
      <c r="E154" s="177">
        <f>IF(PaymentSchedule[[#This Row],[PMT NO]]&lt;&gt;"",ScheduledPayment,"")</f>
        <v>1342.0540575303476</v>
      </c>
      <c r="F15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4" s="177">
        <f>IF(PaymentSchedule[[#This Row],[PMT NO]]&lt;&gt;"",PaymentSchedule[[#This Row],[TOTAL PAYMENT]]-PaymentSchedule[[#This Row],[INTEREST]],"")</f>
        <v>542.13247241805914</v>
      </c>
      <c r="I154" s="177">
        <f>IF(PaymentSchedule[[#This Row],[PMT NO]]&lt;&gt;"",PaymentSchedule[[#This Row],[BEGINNING BALANCE]]*(InterestRate/PaymentsPerYear),"")</f>
        <v>799.92158511228843</v>
      </c>
      <c r="J15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191439.04795453118</v>
      </c>
      <c r="K154" s="177">
        <f>IF(PaymentSchedule[[#This Row],[PMT NO]]&lt;&gt;"",SUM(INDEX(PaymentSchedule[INTEREST],1,1):PaymentSchedule[[#This Row],[INTEREST]]),"")</f>
        <v>133352.77818137078</v>
      </c>
      <c r="L154" s="178"/>
    </row>
    <row r="155" spans="2:12" x14ac:dyDescent="0.2">
      <c r="B155" s="175">
        <f>IF(LoanIsGood,IF(ROW()-ROW(PaymentSchedule[[#Headers],[PMT NO]])&gt;ScheduledNumberOfPayments,"",ROW()-ROW(PaymentSchedule[[#Headers],[PMT NO]])),"")</f>
        <v>144</v>
      </c>
      <c r="C155" s="176">
        <f>IF(PaymentSchedule[[#This Row],[PMT NO]]&lt;&gt;"",EOMONTH(LoanStartDate,ROW(PaymentSchedule[[#This Row],[PMT NO]])-ROW(PaymentSchedule[[#Headers],[PMT NO]])-2)+DAY(LoanStartDate),"")</f>
        <v>49369</v>
      </c>
      <c r="D155" s="177">
        <f>IF(PaymentSchedule[[#This Row],[PMT NO]]&lt;&gt;"",IF(ROW()-ROW(PaymentSchedule[[#Headers],[BEGINNING BALANCE]])=1,LoanAmount,INDEX(PaymentSchedule[ENDING BALANCE],ROW()-ROW(PaymentSchedule[[#Headers],[BEGINNING BALANCE]])-1)),"")</f>
        <v>191439.04795453118</v>
      </c>
      <c r="E155" s="177">
        <f>IF(PaymentSchedule[[#This Row],[PMT NO]]&lt;&gt;"",ScheduledPayment,"")</f>
        <v>1342.0540575303476</v>
      </c>
      <c r="F15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5" s="177">
        <f>IF(PaymentSchedule[[#This Row],[PMT NO]]&lt;&gt;"",PaymentSchedule[[#This Row],[TOTAL PAYMENT]]-PaymentSchedule[[#This Row],[INTEREST]],"")</f>
        <v>544.39135771980102</v>
      </c>
      <c r="I155" s="177">
        <f>IF(PaymentSchedule[[#This Row],[PMT NO]]&lt;&gt;"",PaymentSchedule[[#This Row],[BEGINNING BALANCE]]*(InterestRate/PaymentsPerYear),"")</f>
        <v>797.66269981054654</v>
      </c>
      <c r="J15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190894.65659681137</v>
      </c>
      <c r="K155" s="177">
        <f>IF(PaymentSchedule[[#This Row],[PMT NO]]&lt;&gt;"",SUM(INDEX(PaymentSchedule[INTEREST],1,1):PaymentSchedule[[#This Row],[INTEREST]]),"")</f>
        <v>134150.44088118133</v>
      </c>
      <c r="L155" s="178"/>
    </row>
    <row r="156" spans="2:12" x14ac:dyDescent="0.2">
      <c r="B156" s="175">
        <f>IF(LoanIsGood,IF(ROW()-ROW(PaymentSchedule[[#Headers],[PMT NO]])&gt;ScheduledNumberOfPayments,"",ROW()-ROW(PaymentSchedule[[#Headers],[PMT NO]])),"")</f>
        <v>145</v>
      </c>
      <c r="C156" s="176">
        <f>IF(PaymentSchedule[[#This Row],[PMT NO]]&lt;&gt;"",EOMONTH(LoanStartDate,ROW(PaymentSchedule[[#This Row],[PMT NO]])-ROW(PaymentSchedule[[#Headers],[PMT NO]])-2)+DAY(LoanStartDate),"")</f>
        <v>49400</v>
      </c>
      <c r="D156" s="177">
        <f>IF(PaymentSchedule[[#This Row],[PMT NO]]&lt;&gt;"",IF(ROW()-ROW(PaymentSchedule[[#Headers],[BEGINNING BALANCE]])=1,LoanAmount,INDEX(PaymentSchedule[ENDING BALANCE],ROW()-ROW(PaymentSchedule[[#Headers],[BEGINNING BALANCE]])-1)),"")</f>
        <v>190894.65659681137</v>
      </c>
      <c r="E156" s="177">
        <f>IF(PaymentSchedule[[#This Row],[PMT NO]]&lt;&gt;"",ScheduledPayment,"")</f>
        <v>1342.0540575303476</v>
      </c>
      <c r="F15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6" s="177">
        <f>IF(PaymentSchedule[[#This Row],[PMT NO]]&lt;&gt;"",PaymentSchedule[[#This Row],[TOTAL PAYMENT]]-PaymentSchedule[[#This Row],[INTEREST]],"")</f>
        <v>546.65965504363351</v>
      </c>
      <c r="I156" s="177">
        <f>IF(PaymentSchedule[[#This Row],[PMT NO]]&lt;&gt;"",PaymentSchedule[[#This Row],[BEGINNING BALANCE]]*(InterestRate/PaymentsPerYear),"")</f>
        <v>795.39440248671406</v>
      </c>
      <c r="J15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190347.99694176775</v>
      </c>
      <c r="K156" s="177">
        <f>IF(PaymentSchedule[[#This Row],[PMT NO]]&lt;&gt;"",SUM(INDEX(PaymentSchedule[INTEREST],1,1):PaymentSchedule[[#This Row],[INTEREST]]),"")</f>
        <v>134945.83528366804</v>
      </c>
      <c r="L156" s="178"/>
    </row>
    <row r="157" spans="2:12" x14ac:dyDescent="0.2">
      <c r="B157" s="175">
        <f>IF(LoanIsGood,IF(ROW()-ROW(PaymentSchedule[[#Headers],[PMT NO]])&gt;ScheduledNumberOfPayments,"",ROW()-ROW(PaymentSchedule[[#Headers],[PMT NO]])),"")</f>
        <v>146</v>
      </c>
      <c r="C157" s="176">
        <f>IF(PaymentSchedule[[#This Row],[PMT NO]]&lt;&gt;"",EOMONTH(LoanStartDate,ROW(PaymentSchedule[[#This Row],[PMT NO]])-ROW(PaymentSchedule[[#Headers],[PMT NO]])-2)+DAY(LoanStartDate),"")</f>
        <v>49430</v>
      </c>
      <c r="D157" s="177">
        <f>IF(PaymentSchedule[[#This Row],[PMT NO]]&lt;&gt;"",IF(ROW()-ROW(PaymentSchedule[[#Headers],[BEGINNING BALANCE]])=1,LoanAmount,INDEX(PaymentSchedule[ENDING BALANCE],ROW()-ROW(PaymentSchedule[[#Headers],[BEGINNING BALANCE]])-1)),"")</f>
        <v>190347.99694176775</v>
      </c>
      <c r="E157" s="177">
        <f>IF(PaymentSchedule[[#This Row],[PMT NO]]&lt;&gt;"",ScheduledPayment,"")</f>
        <v>1342.0540575303476</v>
      </c>
      <c r="F15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7" s="177">
        <f>IF(PaymentSchedule[[#This Row],[PMT NO]]&lt;&gt;"",PaymentSchedule[[#This Row],[TOTAL PAYMENT]]-PaymentSchedule[[#This Row],[INTEREST]],"")</f>
        <v>548.93740360631523</v>
      </c>
      <c r="I157" s="177">
        <f>IF(PaymentSchedule[[#This Row],[PMT NO]]&lt;&gt;"",PaymentSchedule[[#This Row],[BEGINNING BALANCE]]*(InterestRate/PaymentsPerYear),"")</f>
        <v>793.11665392403233</v>
      </c>
      <c r="J15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189799.05953816144</v>
      </c>
      <c r="K157" s="177">
        <f>IF(PaymentSchedule[[#This Row],[PMT NO]]&lt;&gt;"",SUM(INDEX(PaymentSchedule[INTEREST],1,1):PaymentSchedule[[#This Row],[INTEREST]]),"")</f>
        <v>135738.95193759206</v>
      </c>
      <c r="L157" s="178"/>
    </row>
    <row r="158" spans="2:12" x14ac:dyDescent="0.2">
      <c r="B158" s="175">
        <f>IF(LoanIsGood,IF(ROW()-ROW(PaymentSchedule[[#Headers],[PMT NO]])&gt;ScheduledNumberOfPayments,"",ROW()-ROW(PaymentSchedule[[#Headers],[PMT NO]])),"")</f>
        <v>147</v>
      </c>
      <c r="C158" s="176">
        <f>IF(PaymentSchedule[[#This Row],[PMT NO]]&lt;&gt;"",EOMONTH(LoanStartDate,ROW(PaymentSchedule[[#This Row],[PMT NO]])-ROW(PaymentSchedule[[#Headers],[PMT NO]])-2)+DAY(LoanStartDate),"")</f>
        <v>49461</v>
      </c>
      <c r="D158" s="177">
        <f>IF(PaymentSchedule[[#This Row],[PMT NO]]&lt;&gt;"",IF(ROW()-ROW(PaymentSchedule[[#Headers],[BEGINNING BALANCE]])=1,LoanAmount,INDEX(PaymentSchedule[ENDING BALANCE],ROW()-ROW(PaymentSchedule[[#Headers],[BEGINNING BALANCE]])-1)),"")</f>
        <v>189799.05953816144</v>
      </c>
      <c r="E158" s="177">
        <f>IF(PaymentSchedule[[#This Row],[PMT NO]]&lt;&gt;"",ScheduledPayment,"")</f>
        <v>1342.0540575303476</v>
      </c>
      <c r="F15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8" s="177">
        <f>IF(PaymentSchedule[[#This Row],[PMT NO]]&lt;&gt;"",PaymentSchedule[[#This Row],[TOTAL PAYMENT]]-PaymentSchedule[[#This Row],[INTEREST]],"")</f>
        <v>551.22464278800828</v>
      </c>
      <c r="I158" s="177">
        <f>IF(PaymentSchedule[[#This Row],[PMT NO]]&lt;&gt;"",PaymentSchedule[[#This Row],[BEGINNING BALANCE]]*(InterestRate/PaymentsPerYear),"")</f>
        <v>790.82941474233928</v>
      </c>
      <c r="J15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189247.83489537344</v>
      </c>
      <c r="K158" s="177">
        <f>IF(PaymentSchedule[[#This Row],[PMT NO]]&lt;&gt;"",SUM(INDEX(PaymentSchedule[INTEREST],1,1):PaymentSchedule[[#This Row],[INTEREST]]),"")</f>
        <v>136529.78135233439</v>
      </c>
      <c r="L158" s="178"/>
    </row>
    <row r="159" spans="2:12" x14ac:dyDescent="0.2">
      <c r="B159" s="175">
        <f>IF(LoanIsGood,IF(ROW()-ROW(PaymentSchedule[[#Headers],[PMT NO]])&gt;ScheduledNumberOfPayments,"",ROW()-ROW(PaymentSchedule[[#Headers],[PMT NO]])),"")</f>
        <v>148</v>
      </c>
      <c r="C159" s="176">
        <f>IF(PaymentSchedule[[#This Row],[PMT NO]]&lt;&gt;"",EOMONTH(LoanStartDate,ROW(PaymentSchedule[[#This Row],[PMT NO]])-ROW(PaymentSchedule[[#Headers],[PMT NO]])-2)+DAY(LoanStartDate),"")</f>
        <v>49491</v>
      </c>
      <c r="D159" s="177">
        <f>IF(PaymentSchedule[[#This Row],[PMT NO]]&lt;&gt;"",IF(ROW()-ROW(PaymentSchedule[[#Headers],[BEGINNING BALANCE]])=1,LoanAmount,INDEX(PaymentSchedule[ENDING BALANCE],ROW()-ROW(PaymentSchedule[[#Headers],[BEGINNING BALANCE]])-1)),"")</f>
        <v>189247.83489537344</v>
      </c>
      <c r="E159" s="177">
        <f>IF(PaymentSchedule[[#This Row],[PMT NO]]&lt;&gt;"",ScheduledPayment,"")</f>
        <v>1342.0540575303476</v>
      </c>
      <c r="F15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59" s="177">
        <f>IF(PaymentSchedule[[#This Row],[PMT NO]]&lt;&gt;"",PaymentSchedule[[#This Row],[TOTAL PAYMENT]]-PaymentSchedule[[#This Row],[INTEREST]],"")</f>
        <v>553.52141213295829</v>
      </c>
      <c r="I159" s="177">
        <f>IF(PaymentSchedule[[#This Row],[PMT NO]]&lt;&gt;"",PaymentSchedule[[#This Row],[BEGINNING BALANCE]]*(InterestRate/PaymentsPerYear),"")</f>
        <v>788.53264539738927</v>
      </c>
      <c r="J15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188694.31348324049</v>
      </c>
      <c r="K159" s="177">
        <f>IF(PaymentSchedule[[#This Row],[PMT NO]]&lt;&gt;"",SUM(INDEX(PaymentSchedule[INTEREST],1,1):PaymentSchedule[[#This Row],[INTEREST]]),"")</f>
        <v>137318.31399773178</v>
      </c>
      <c r="L159" s="178"/>
    </row>
    <row r="160" spans="2:12" x14ac:dyDescent="0.2">
      <c r="B160" s="175">
        <f>IF(LoanIsGood,IF(ROW()-ROW(PaymentSchedule[[#Headers],[PMT NO]])&gt;ScheduledNumberOfPayments,"",ROW()-ROW(PaymentSchedule[[#Headers],[PMT NO]])),"")</f>
        <v>149</v>
      </c>
      <c r="C160" s="176">
        <f>IF(PaymentSchedule[[#This Row],[PMT NO]]&lt;&gt;"",EOMONTH(LoanStartDate,ROW(PaymentSchedule[[#This Row],[PMT NO]])-ROW(PaymentSchedule[[#Headers],[PMT NO]])-2)+DAY(LoanStartDate),"")</f>
        <v>49522</v>
      </c>
      <c r="D160" s="177">
        <f>IF(PaymentSchedule[[#This Row],[PMT NO]]&lt;&gt;"",IF(ROW()-ROW(PaymentSchedule[[#Headers],[BEGINNING BALANCE]])=1,LoanAmount,INDEX(PaymentSchedule[ENDING BALANCE],ROW()-ROW(PaymentSchedule[[#Headers],[BEGINNING BALANCE]])-1)),"")</f>
        <v>188694.31348324049</v>
      </c>
      <c r="E160" s="177">
        <f>IF(PaymentSchedule[[#This Row],[PMT NO]]&lt;&gt;"",ScheduledPayment,"")</f>
        <v>1342.0540575303476</v>
      </c>
      <c r="F16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0" s="177">
        <f>IF(PaymentSchedule[[#This Row],[PMT NO]]&lt;&gt;"",PaymentSchedule[[#This Row],[TOTAL PAYMENT]]-PaymentSchedule[[#This Row],[INTEREST]],"")</f>
        <v>555.82775135017891</v>
      </c>
      <c r="I160" s="177">
        <f>IF(PaymentSchedule[[#This Row],[PMT NO]]&lt;&gt;"",PaymentSchedule[[#This Row],[BEGINNING BALANCE]]*(InterestRate/PaymentsPerYear),"")</f>
        <v>786.22630618016865</v>
      </c>
      <c r="J16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188138.48573189031</v>
      </c>
      <c r="K160" s="177">
        <f>IF(PaymentSchedule[[#This Row],[PMT NO]]&lt;&gt;"",SUM(INDEX(PaymentSchedule[INTEREST],1,1):PaymentSchedule[[#This Row],[INTEREST]]),"")</f>
        <v>138104.54030391196</v>
      </c>
      <c r="L160" s="178"/>
    </row>
    <row r="161" spans="2:12" x14ac:dyDescent="0.2">
      <c r="B161" s="175">
        <f>IF(LoanIsGood,IF(ROW()-ROW(PaymentSchedule[[#Headers],[PMT NO]])&gt;ScheduledNumberOfPayments,"",ROW()-ROW(PaymentSchedule[[#Headers],[PMT NO]])),"")</f>
        <v>150</v>
      </c>
      <c r="C161" s="176">
        <f>IF(PaymentSchedule[[#This Row],[PMT NO]]&lt;&gt;"",EOMONTH(LoanStartDate,ROW(PaymentSchedule[[#This Row],[PMT NO]])-ROW(PaymentSchedule[[#Headers],[PMT NO]])-2)+DAY(LoanStartDate),"")</f>
        <v>49553</v>
      </c>
      <c r="D161" s="177">
        <f>IF(PaymentSchedule[[#This Row],[PMT NO]]&lt;&gt;"",IF(ROW()-ROW(PaymentSchedule[[#Headers],[BEGINNING BALANCE]])=1,LoanAmount,INDEX(PaymentSchedule[ENDING BALANCE],ROW()-ROW(PaymentSchedule[[#Headers],[BEGINNING BALANCE]])-1)),"")</f>
        <v>188138.48573189031</v>
      </c>
      <c r="E161" s="177">
        <f>IF(PaymentSchedule[[#This Row],[PMT NO]]&lt;&gt;"",ScheduledPayment,"")</f>
        <v>1342.0540575303476</v>
      </c>
      <c r="F16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1" s="177">
        <f>IF(PaymentSchedule[[#This Row],[PMT NO]]&lt;&gt;"",PaymentSchedule[[#This Row],[TOTAL PAYMENT]]-PaymentSchedule[[#This Row],[INTEREST]],"")</f>
        <v>558.14370031413796</v>
      </c>
      <c r="I161" s="177">
        <f>IF(PaymentSchedule[[#This Row],[PMT NO]]&lt;&gt;"",PaymentSchedule[[#This Row],[BEGINNING BALANCE]]*(InterestRate/PaymentsPerYear),"")</f>
        <v>783.9103572162096</v>
      </c>
      <c r="J16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187580.34203157618</v>
      </c>
      <c r="K161" s="177">
        <f>IF(PaymentSchedule[[#This Row],[PMT NO]]&lt;&gt;"",SUM(INDEX(PaymentSchedule[INTEREST],1,1):PaymentSchedule[[#This Row],[INTEREST]]),"")</f>
        <v>138888.45066112815</v>
      </c>
      <c r="L161" s="178"/>
    </row>
    <row r="162" spans="2:12" x14ac:dyDescent="0.2">
      <c r="B162" s="175">
        <f>IF(LoanIsGood,IF(ROW()-ROW(PaymentSchedule[[#Headers],[PMT NO]])&gt;ScheduledNumberOfPayments,"",ROW()-ROW(PaymentSchedule[[#Headers],[PMT NO]])),"")</f>
        <v>151</v>
      </c>
      <c r="C162" s="176">
        <f>IF(PaymentSchedule[[#This Row],[PMT NO]]&lt;&gt;"",EOMONTH(LoanStartDate,ROW(PaymentSchedule[[#This Row],[PMT NO]])-ROW(PaymentSchedule[[#Headers],[PMT NO]])-2)+DAY(LoanStartDate),"")</f>
        <v>49583</v>
      </c>
      <c r="D162" s="177">
        <f>IF(PaymentSchedule[[#This Row],[PMT NO]]&lt;&gt;"",IF(ROW()-ROW(PaymentSchedule[[#Headers],[BEGINNING BALANCE]])=1,LoanAmount,INDEX(PaymentSchedule[ENDING BALANCE],ROW()-ROW(PaymentSchedule[[#Headers],[BEGINNING BALANCE]])-1)),"")</f>
        <v>187580.34203157618</v>
      </c>
      <c r="E162" s="177">
        <f>IF(PaymentSchedule[[#This Row],[PMT NO]]&lt;&gt;"",ScheduledPayment,"")</f>
        <v>1342.0540575303476</v>
      </c>
      <c r="F16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2" s="177">
        <f>IF(PaymentSchedule[[#This Row],[PMT NO]]&lt;&gt;"",PaymentSchedule[[#This Row],[TOTAL PAYMENT]]-PaymentSchedule[[#This Row],[INTEREST]],"")</f>
        <v>560.46929906544688</v>
      </c>
      <c r="I162" s="177">
        <f>IF(PaymentSchedule[[#This Row],[PMT NO]]&lt;&gt;"",PaymentSchedule[[#This Row],[BEGINNING BALANCE]]*(InterestRate/PaymentsPerYear),"")</f>
        <v>781.58475846490069</v>
      </c>
      <c r="J16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187019.87273251073</v>
      </c>
      <c r="K162" s="177">
        <f>IF(PaymentSchedule[[#This Row],[PMT NO]]&lt;&gt;"",SUM(INDEX(PaymentSchedule[INTEREST],1,1):PaymentSchedule[[#This Row],[INTEREST]]),"")</f>
        <v>139670.03541959304</v>
      </c>
      <c r="L162" s="178"/>
    </row>
    <row r="163" spans="2:12" x14ac:dyDescent="0.2">
      <c r="B163" s="175">
        <f>IF(LoanIsGood,IF(ROW()-ROW(PaymentSchedule[[#Headers],[PMT NO]])&gt;ScheduledNumberOfPayments,"",ROW()-ROW(PaymentSchedule[[#Headers],[PMT NO]])),"")</f>
        <v>152</v>
      </c>
      <c r="C163" s="176">
        <f>IF(PaymentSchedule[[#This Row],[PMT NO]]&lt;&gt;"",EOMONTH(LoanStartDate,ROW(PaymentSchedule[[#This Row],[PMT NO]])-ROW(PaymentSchedule[[#Headers],[PMT NO]])-2)+DAY(LoanStartDate),"")</f>
        <v>49614</v>
      </c>
      <c r="D163" s="177">
        <f>IF(PaymentSchedule[[#This Row],[PMT NO]]&lt;&gt;"",IF(ROW()-ROW(PaymentSchedule[[#Headers],[BEGINNING BALANCE]])=1,LoanAmount,INDEX(PaymentSchedule[ENDING BALANCE],ROW()-ROW(PaymentSchedule[[#Headers],[BEGINNING BALANCE]])-1)),"")</f>
        <v>187019.87273251073</v>
      </c>
      <c r="E163" s="177">
        <f>IF(PaymentSchedule[[#This Row],[PMT NO]]&lt;&gt;"",ScheduledPayment,"")</f>
        <v>1342.0540575303476</v>
      </c>
      <c r="F16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3" s="177">
        <f>IF(PaymentSchedule[[#This Row],[PMT NO]]&lt;&gt;"",PaymentSchedule[[#This Row],[TOTAL PAYMENT]]-PaymentSchedule[[#This Row],[INTEREST]],"")</f>
        <v>562.80458781155289</v>
      </c>
      <c r="I163" s="177">
        <f>IF(PaymentSchedule[[#This Row],[PMT NO]]&lt;&gt;"",PaymentSchedule[[#This Row],[BEGINNING BALANCE]]*(InterestRate/PaymentsPerYear),"")</f>
        <v>779.24946971879467</v>
      </c>
      <c r="J16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186457.06814469918</v>
      </c>
      <c r="K163" s="177">
        <f>IF(PaymentSchedule[[#This Row],[PMT NO]]&lt;&gt;"",SUM(INDEX(PaymentSchedule[INTEREST],1,1):PaymentSchedule[[#This Row],[INTEREST]]),"")</f>
        <v>140449.28488931185</v>
      </c>
      <c r="L163" s="178"/>
    </row>
    <row r="164" spans="2:12" x14ac:dyDescent="0.2">
      <c r="B164" s="175">
        <f>IF(LoanIsGood,IF(ROW()-ROW(PaymentSchedule[[#Headers],[PMT NO]])&gt;ScheduledNumberOfPayments,"",ROW()-ROW(PaymentSchedule[[#Headers],[PMT NO]])),"")</f>
        <v>153</v>
      </c>
      <c r="C164" s="176">
        <f>IF(PaymentSchedule[[#This Row],[PMT NO]]&lt;&gt;"",EOMONTH(LoanStartDate,ROW(PaymentSchedule[[#This Row],[PMT NO]])-ROW(PaymentSchedule[[#Headers],[PMT NO]])-2)+DAY(LoanStartDate),"")</f>
        <v>49644</v>
      </c>
      <c r="D164" s="177">
        <f>IF(PaymentSchedule[[#This Row],[PMT NO]]&lt;&gt;"",IF(ROW()-ROW(PaymentSchedule[[#Headers],[BEGINNING BALANCE]])=1,LoanAmount,INDEX(PaymentSchedule[ENDING BALANCE],ROW()-ROW(PaymentSchedule[[#Headers],[BEGINNING BALANCE]])-1)),"")</f>
        <v>186457.06814469918</v>
      </c>
      <c r="E164" s="177">
        <f>IF(PaymentSchedule[[#This Row],[PMT NO]]&lt;&gt;"",ScheduledPayment,"")</f>
        <v>1342.0540575303476</v>
      </c>
      <c r="F16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4" s="177">
        <f>IF(PaymentSchedule[[#This Row],[PMT NO]]&lt;&gt;"",PaymentSchedule[[#This Row],[TOTAL PAYMENT]]-PaymentSchedule[[#This Row],[INTEREST]],"")</f>
        <v>565.14960692743432</v>
      </c>
      <c r="I164" s="177">
        <f>IF(PaymentSchedule[[#This Row],[PMT NO]]&lt;&gt;"",PaymentSchedule[[#This Row],[BEGINNING BALANCE]]*(InterestRate/PaymentsPerYear),"")</f>
        <v>776.90445060291324</v>
      </c>
      <c r="J16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185891.91853777174</v>
      </c>
      <c r="K164" s="177">
        <f>IF(PaymentSchedule[[#This Row],[PMT NO]]&lt;&gt;"",SUM(INDEX(PaymentSchedule[INTEREST],1,1):PaymentSchedule[[#This Row],[INTEREST]]),"")</f>
        <v>141226.18933991477</v>
      </c>
      <c r="L164" s="178"/>
    </row>
    <row r="165" spans="2:12" x14ac:dyDescent="0.2">
      <c r="B165" s="175">
        <f>IF(LoanIsGood,IF(ROW()-ROW(PaymentSchedule[[#Headers],[PMT NO]])&gt;ScheduledNumberOfPayments,"",ROW()-ROW(PaymentSchedule[[#Headers],[PMT NO]])),"")</f>
        <v>154</v>
      </c>
      <c r="C165" s="176">
        <f>IF(PaymentSchedule[[#This Row],[PMT NO]]&lt;&gt;"",EOMONTH(LoanStartDate,ROW(PaymentSchedule[[#This Row],[PMT NO]])-ROW(PaymentSchedule[[#Headers],[PMT NO]])-2)+DAY(LoanStartDate),"")</f>
        <v>49675</v>
      </c>
      <c r="D165" s="177">
        <f>IF(PaymentSchedule[[#This Row],[PMT NO]]&lt;&gt;"",IF(ROW()-ROW(PaymentSchedule[[#Headers],[BEGINNING BALANCE]])=1,LoanAmount,INDEX(PaymentSchedule[ENDING BALANCE],ROW()-ROW(PaymentSchedule[[#Headers],[BEGINNING BALANCE]])-1)),"")</f>
        <v>185891.91853777174</v>
      </c>
      <c r="E165" s="177">
        <f>IF(PaymentSchedule[[#This Row],[PMT NO]]&lt;&gt;"",ScheduledPayment,"")</f>
        <v>1342.0540575303476</v>
      </c>
      <c r="F16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5" s="177">
        <f>IF(PaymentSchedule[[#This Row],[PMT NO]]&lt;&gt;"",PaymentSchedule[[#This Row],[TOTAL PAYMENT]]-PaymentSchedule[[#This Row],[INTEREST]],"")</f>
        <v>567.50439695629871</v>
      </c>
      <c r="I165" s="177">
        <f>IF(PaymentSchedule[[#This Row],[PMT NO]]&lt;&gt;"",PaymentSchedule[[#This Row],[BEGINNING BALANCE]]*(InterestRate/PaymentsPerYear),"")</f>
        <v>774.54966057404886</v>
      </c>
      <c r="J16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185324.41414081544</v>
      </c>
      <c r="K165" s="177">
        <f>IF(PaymentSchedule[[#This Row],[PMT NO]]&lt;&gt;"",SUM(INDEX(PaymentSchedule[INTEREST],1,1):PaymentSchedule[[#This Row],[INTEREST]]),"")</f>
        <v>142000.73900048883</v>
      </c>
      <c r="L165" s="178"/>
    </row>
    <row r="166" spans="2:12" x14ac:dyDescent="0.2">
      <c r="B166" s="175">
        <f>IF(LoanIsGood,IF(ROW()-ROW(PaymentSchedule[[#Headers],[PMT NO]])&gt;ScheduledNumberOfPayments,"",ROW()-ROW(PaymentSchedule[[#Headers],[PMT NO]])),"")</f>
        <v>155</v>
      </c>
      <c r="C166" s="176">
        <f>IF(PaymentSchedule[[#This Row],[PMT NO]]&lt;&gt;"",EOMONTH(LoanStartDate,ROW(PaymentSchedule[[#This Row],[PMT NO]])-ROW(PaymentSchedule[[#Headers],[PMT NO]])-2)+DAY(LoanStartDate),"")</f>
        <v>49706</v>
      </c>
      <c r="D166" s="177">
        <f>IF(PaymentSchedule[[#This Row],[PMT NO]]&lt;&gt;"",IF(ROW()-ROW(PaymentSchedule[[#Headers],[BEGINNING BALANCE]])=1,LoanAmount,INDEX(PaymentSchedule[ENDING BALANCE],ROW()-ROW(PaymentSchedule[[#Headers],[BEGINNING BALANCE]])-1)),"")</f>
        <v>185324.41414081544</v>
      </c>
      <c r="E166" s="177">
        <f>IF(PaymentSchedule[[#This Row],[PMT NO]]&lt;&gt;"",ScheduledPayment,"")</f>
        <v>1342.0540575303476</v>
      </c>
      <c r="F16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6" s="177">
        <f>IF(PaymentSchedule[[#This Row],[PMT NO]]&lt;&gt;"",PaymentSchedule[[#This Row],[TOTAL PAYMENT]]-PaymentSchedule[[#This Row],[INTEREST]],"")</f>
        <v>569.86899861028326</v>
      </c>
      <c r="I166" s="177">
        <f>IF(PaymentSchedule[[#This Row],[PMT NO]]&lt;&gt;"",PaymentSchedule[[#This Row],[BEGINNING BALANCE]]*(InterestRate/PaymentsPerYear),"")</f>
        <v>772.18505892006431</v>
      </c>
      <c r="J16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184754.54514220517</v>
      </c>
      <c r="K166" s="177">
        <f>IF(PaymentSchedule[[#This Row],[PMT NO]]&lt;&gt;"",SUM(INDEX(PaymentSchedule[INTEREST],1,1):PaymentSchedule[[#This Row],[INTEREST]]),"")</f>
        <v>142772.92405940889</v>
      </c>
      <c r="L166" s="178"/>
    </row>
    <row r="167" spans="2:12" x14ac:dyDescent="0.2">
      <c r="B167" s="175">
        <f>IF(LoanIsGood,IF(ROW()-ROW(PaymentSchedule[[#Headers],[PMT NO]])&gt;ScheduledNumberOfPayments,"",ROW()-ROW(PaymentSchedule[[#Headers],[PMT NO]])),"")</f>
        <v>156</v>
      </c>
      <c r="C167" s="176">
        <f>IF(PaymentSchedule[[#This Row],[PMT NO]]&lt;&gt;"",EOMONTH(LoanStartDate,ROW(PaymentSchedule[[#This Row],[PMT NO]])-ROW(PaymentSchedule[[#Headers],[PMT NO]])-2)+DAY(LoanStartDate),"")</f>
        <v>49735</v>
      </c>
      <c r="D167" s="177">
        <f>IF(PaymentSchedule[[#This Row],[PMT NO]]&lt;&gt;"",IF(ROW()-ROW(PaymentSchedule[[#Headers],[BEGINNING BALANCE]])=1,LoanAmount,INDEX(PaymentSchedule[ENDING BALANCE],ROW()-ROW(PaymentSchedule[[#Headers],[BEGINNING BALANCE]])-1)),"")</f>
        <v>184754.54514220517</v>
      </c>
      <c r="E167" s="177">
        <f>IF(PaymentSchedule[[#This Row],[PMT NO]]&lt;&gt;"",ScheduledPayment,"")</f>
        <v>1342.0540575303476</v>
      </c>
      <c r="F16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7" s="177">
        <f>IF(PaymentSchedule[[#This Row],[PMT NO]]&lt;&gt;"",PaymentSchedule[[#This Row],[TOTAL PAYMENT]]-PaymentSchedule[[#This Row],[INTEREST]],"")</f>
        <v>572.24345277115935</v>
      </c>
      <c r="I167" s="177">
        <f>IF(PaymentSchedule[[#This Row],[PMT NO]]&lt;&gt;"",PaymentSchedule[[#This Row],[BEGINNING BALANCE]]*(InterestRate/PaymentsPerYear),"")</f>
        <v>769.81060475918821</v>
      </c>
      <c r="J16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184182.30168943401</v>
      </c>
      <c r="K167" s="177">
        <f>IF(PaymentSchedule[[#This Row],[PMT NO]]&lt;&gt;"",SUM(INDEX(PaymentSchedule[INTEREST],1,1):PaymentSchedule[[#This Row],[INTEREST]]),"")</f>
        <v>143542.73466416809</v>
      </c>
      <c r="L167" s="178"/>
    </row>
    <row r="168" spans="2:12" x14ac:dyDescent="0.2">
      <c r="B168" s="175">
        <f>IF(LoanIsGood,IF(ROW()-ROW(PaymentSchedule[[#Headers],[PMT NO]])&gt;ScheduledNumberOfPayments,"",ROW()-ROW(PaymentSchedule[[#Headers],[PMT NO]])),"")</f>
        <v>157</v>
      </c>
      <c r="C168" s="176">
        <f>IF(PaymentSchedule[[#This Row],[PMT NO]]&lt;&gt;"",EOMONTH(LoanStartDate,ROW(PaymentSchedule[[#This Row],[PMT NO]])-ROW(PaymentSchedule[[#Headers],[PMT NO]])-2)+DAY(LoanStartDate),"")</f>
        <v>49766</v>
      </c>
      <c r="D168" s="177">
        <f>IF(PaymentSchedule[[#This Row],[PMT NO]]&lt;&gt;"",IF(ROW()-ROW(PaymentSchedule[[#Headers],[BEGINNING BALANCE]])=1,LoanAmount,INDEX(PaymentSchedule[ENDING BALANCE],ROW()-ROW(PaymentSchedule[[#Headers],[BEGINNING BALANCE]])-1)),"")</f>
        <v>184182.30168943401</v>
      </c>
      <c r="E168" s="177">
        <f>IF(PaymentSchedule[[#This Row],[PMT NO]]&lt;&gt;"",ScheduledPayment,"")</f>
        <v>1342.0540575303476</v>
      </c>
      <c r="F16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8" s="177">
        <f>IF(PaymentSchedule[[#This Row],[PMT NO]]&lt;&gt;"",PaymentSchedule[[#This Row],[TOTAL PAYMENT]]-PaymentSchedule[[#This Row],[INTEREST]],"")</f>
        <v>574.62780049103924</v>
      </c>
      <c r="I168" s="177">
        <f>IF(PaymentSchedule[[#This Row],[PMT NO]]&lt;&gt;"",PaymentSchedule[[#This Row],[BEGINNING BALANCE]]*(InterestRate/PaymentsPerYear),"")</f>
        <v>767.42625703930833</v>
      </c>
      <c r="J16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183607.67388894298</v>
      </c>
      <c r="K168" s="177">
        <f>IF(PaymentSchedule[[#This Row],[PMT NO]]&lt;&gt;"",SUM(INDEX(PaymentSchedule[INTEREST],1,1):PaymentSchedule[[#This Row],[INTEREST]]),"")</f>
        <v>144310.1609212074</v>
      </c>
      <c r="L168" s="178"/>
    </row>
    <row r="169" spans="2:12" x14ac:dyDescent="0.2">
      <c r="B169" s="175">
        <f>IF(LoanIsGood,IF(ROW()-ROW(PaymentSchedule[[#Headers],[PMT NO]])&gt;ScheduledNumberOfPayments,"",ROW()-ROW(PaymentSchedule[[#Headers],[PMT NO]])),"")</f>
        <v>158</v>
      </c>
      <c r="C169" s="176">
        <f>IF(PaymentSchedule[[#This Row],[PMT NO]]&lt;&gt;"",EOMONTH(LoanStartDate,ROW(PaymentSchedule[[#This Row],[PMT NO]])-ROW(PaymentSchedule[[#Headers],[PMT NO]])-2)+DAY(LoanStartDate),"")</f>
        <v>49796</v>
      </c>
      <c r="D169" s="177">
        <f>IF(PaymentSchedule[[#This Row],[PMT NO]]&lt;&gt;"",IF(ROW()-ROW(PaymentSchedule[[#Headers],[BEGINNING BALANCE]])=1,LoanAmount,INDEX(PaymentSchedule[ENDING BALANCE],ROW()-ROW(PaymentSchedule[[#Headers],[BEGINNING BALANCE]])-1)),"")</f>
        <v>183607.67388894298</v>
      </c>
      <c r="E169" s="177">
        <f>IF(PaymentSchedule[[#This Row],[PMT NO]]&lt;&gt;"",ScheduledPayment,"")</f>
        <v>1342.0540575303476</v>
      </c>
      <c r="F16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69" s="177">
        <f>IF(PaymentSchedule[[#This Row],[PMT NO]]&lt;&gt;"",PaymentSchedule[[#This Row],[TOTAL PAYMENT]]-PaymentSchedule[[#This Row],[INTEREST]],"")</f>
        <v>577.02208299308518</v>
      </c>
      <c r="I169" s="177">
        <f>IF(PaymentSchedule[[#This Row],[PMT NO]]&lt;&gt;"",PaymentSchedule[[#This Row],[BEGINNING BALANCE]]*(InterestRate/PaymentsPerYear),"")</f>
        <v>765.03197453726239</v>
      </c>
      <c r="J16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183030.65180594989</v>
      </c>
      <c r="K169" s="177">
        <f>IF(PaymentSchedule[[#This Row],[PMT NO]]&lt;&gt;"",SUM(INDEX(PaymentSchedule[INTEREST],1,1):PaymentSchedule[[#This Row],[INTEREST]]),"")</f>
        <v>145075.19289574467</v>
      </c>
      <c r="L169" s="178"/>
    </row>
    <row r="170" spans="2:12" x14ac:dyDescent="0.2">
      <c r="B170" s="175">
        <f>IF(LoanIsGood,IF(ROW()-ROW(PaymentSchedule[[#Headers],[PMT NO]])&gt;ScheduledNumberOfPayments,"",ROW()-ROW(PaymentSchedule[[#Headers],[PMT NO]])),"")</f>
        <v>159</v>
      </c>
      <c r="C170" s="176">
        <f>IF(PaymentSchedule[[#This Row],[PMT NO]]&lt;&gt;"",EOMONTH(LoanStartDate,ROW(PaymentSchedule[[#This Row],[PMT NO]])-ROW(PaymentSchedule[[#Headers],[PMT NO]])-2)+DAY(LoanStartDate),"")</f>
        <v>49827</v>
      </c>
      <c r="D170" s="177">
        <f>IF(PaymentSchedule[[#This Row],[PMT NO]]&lt;&gt;"",IF(ROW()-ROW(PaymentSchedule[[#Headers],[BEGINNING BALANCE]])=1,LoanAmount,INDEX(PaymentSchedule[ENDING BALANCE],ROW()-ROW(PaymentSchedule[[#Headers],[BEGINNING BALANCE]])-1)),"")</f>
        <v>183030.65180594989</v>
      </c>
      <c r="E170" s="177">
        <f>IF(PaymentSchedule[[#This Row],[PMT NO]]&lt;&gt;"",ScheduledPayment,"")</f>
        <v>1342.0540575303476</v>
      </c>
      <c r="F17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0" s="177">
        <f>IF(PaymentSchedule[[#This Row],[PMT NO]]&lt;&gt;"",PaymentSchedule[[#This Row],[TOTAL PAYMENT]]-PaymentSchedule[[#This Row],[INTEREST]],"")</f>
        <v>579.42634167222297</v>
      </c>
      <c r="I170" s="177">
        <f>IF(PaymentSchedule[[#This Row],[PMT NO]]&lt;&gt;"",PaymentSchedule[[#This Row],[BEGINNING BALANCE]]*(InterestRate/PaymentsPerYear),"")</f>
        <v>762.62771585812459</v>
      </c>
      <c r="J17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182451.22546427767</v>
      </c>
      <c r="K170" s="177">
        <f>IF(PaymentSchedule[[#This Row],[PMT NO]]&lt;&gt;"",SUM(INDEX(PaymentSchedule[INTEREST],1,1):PaymentSchedule[[#This Row],[INTEREST]]),"")</f>
        <v>145837.8206116028</v>
      </c>
      <c r="L170" s="178"/>
    </row>
    <row r="171" spans="2:12" x14ac:dyDescent="0.2">
      <c r="B171" s="175">
        <f>IF(LoanIsGood,IF(ROW()-ROW(PaymentSchedule[[#Headers],[PMT NO]])&gt;ScheduledNumberOfPayments,"",ROW()-ROW(PaymentSchedule[[#Headers],[PMT NO]])),"")</f>
        <v>160</v>
      </c>
      <c r="C171" s="176">
        <f>IF(PaymentSchedule[[#This Row],[PMT NO]]&lt;&gt;"",EOMONTH(LoanStartDate,ROW(PaymentSchedule[[#This Row],[PMT NO]])-ROW(PaymentSchedule[[#Headers],[PMT NO]])-2)+DAY(LoanStartDate),"")</f>
        <v>49857</v>
      </c>
      <c r="D171" s="177">
        <f>IF(PaymentSchedule[[#This Row],[PMT NO]]&lt;&gt;"",IF(ROW()-ROW(PaymentSchedule[[#Headers],[BEGINNING BALANCE]])=1,LoanAmount,INDEX(PaymentSchedule[ENDING BALANCE],ROW()-ROW(PaymentSchedule[[#Headers],[BEGINNING BALANCE]])-1)),"")</f>
        <v>182451.22546427767</v>
      </c>
      <c r="E171" s="177">
        <f>IF(PaymentSchedule[[#This Row],[PMT NO]]&lt;&gt;"",ScheduledPayment,"")</f>
        <v>1342.0540575303476</v>
      </c>
      <c r="F17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1" s="177">
        <f>IF(PaymentSchedule[[#This Row],[PMT NO]]&lt;&gt;"",PaymentSchedule[[#This Row],[TOTAL PAYMENT]]-PaymentSchedule[[#This Row],[INTEREST]],"")</f>
        <v>581.84061809585728</v>
      </c>
      <c r="I171" s="177">
        <f>IF(PaymentSchedule[[#This Row],[PMT NO]]&lt;&gt;"",PaymentSchedule[[#This Row],[BEGINNING BALANCE]]*(InterestRate/PaymentsPerYear),"")</f>
        <v>760.21343943449028</v>
      </c>
      <c r="J17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181869.38484618181</v>
      </c>
      <c r="K171" s="177">
        <f>IF(PaymentSchedule[[#This Row],[PMT NO]]&lt;&gt;"",SUM(INDEX(PaymentSchedule[INTEREST],1,1):PaymentSchedule[[#This Row],[INTEREST]]),"")</f>
        <v>146598.03405103728</v>
      </c>
      <c r="L171" s="178"/>
    </row>
    <row r="172" spans="2:12" x14ac:dyDescent="0.2">
      <c r="B172" s="175">
        <f>IF(LoanIsGood,IF(ROW()-ROW(PaymentSchedule[[#Headers],[PMT NO]])&gt;ScheduledNumberOfPayments,"",ROW()-ROW(PaymentSchedule[[#Headers],[PMT NO]])),"")</f>
        <v>161</v>
      </c>
      <c r="C172" s="176">
        <f>IF(PaymentSchedule[[#This Row],[PMT NO]]&lt;&gt;"",EOMONTH(LoanStartDate,ROW(PaymentSchedule[[#This Row],[PMT NO]])-ROW(PaymentSchedule[[#Headers],[PMT NO]])-2)+DAY(LoanStartDate),"")</f>
        <v>49888</v>
      </c>
      <c r="D172" s="177">
        <f>IF(PaymentSchedule[[#This Row],[PMT NO]]&lt;&gt;"",IF(ROW()-ROW(PaymentSchedule[[#Headers],[BEGINNING BALANCE]])=1,LoanAmount,INDEX(PaymentSchedule[ENDING BALANCE],ROW()-ROW(PaymentSchedule[[#Headers],[BEGINNING BALANCE]])-1)),"")</f>
        <v>181869.38484618181</v>
      </c>
      <c r="E172" s="177">
        <f>IF(PaymentSchedule[[#This Row],[PMT NO]]&lt;&gt;"",ScheduledPayment,"")</f>
        <v>1342.0540575303476</v>
      </c>
      <c r="F17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2" s="177">
        <f>IF(PaymentSchedule[[#This Row],[PMT NO]]&lt;&gt;"",PaymentSchedule[[#This Row],[TOTAL PAYMENT]]-PaymentSchedule[[#This Row],[INTEREST]],"")</f>
        <v>584.26495400458998</v>
      </c>
      <c r="I172" s="177">
        <f>IF(PaymentSchedule[[#This Row],[PMT NO]]&lt;&gt;"",PaymentSchedule[[#This Row],[BEGINNING BALANCE]]*(InterestRate/PaymentsPerYear),"")</f>
        <v>757.78910352575758</v>
      </c>
      <c r="J17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181285.11989217723</v>
      </c>
      <c r="K172" s="177">
        <f>IF(PaymentSchedule[[#This Row],[PMT NO]]&lt;&gt;"",SUM(INDEX(PaymentSchedule[INTEREST],1,1):PaymentSchedule[[#This Row],[INTEREST]]),"")</f>
        <v>147355.82315456303</v>
      </c>
      <c r="L172" s="178"/>
    </row>
    <row r="173" spans="2:12" x14ac:dyDescent="0.2">
      <c r="B173" s="175">
        <f>IF(LoanIsGood,IF(ROW()-ROW(PaymentSchedule[[#Headers],[PMT NO]])&gt;ScheduledNumberOfPayments,"",ROW()-ROW(PaymentSchedule[[#Headers],[PMT NO]])),"")</f>
        <v>162</v>
      </c>
      <c r="C173" s="176">
        <f>IF(PaymentSchedule[[#This Row],[PMT NO]]&lt;&gt;"",EOMONTH(LoanStartDate,ROW(PaymentSchedule[[#This Row],[PMT NO]])-ROW(PaymentSchedule[[#Headers],[PMT NO]])-2)+DAY(LoanStartDate),"")</f>
        <v>49919</v>
      </c>
      <c r="D173" s="177">
        <f>IF(PaymentSchedule[[#This Row],[PMT NO]]&lt;&gt;"",IF(ROW()-ROW(PaymentSchedule[[#Headers],[BEGINNING BALANCE]])=1,LoanAmount,INDEX(PaymentSchedule[ENDING BALANCE],ROW()-ROW(PaymentSchedule[[#Headers],[BEGINNING BALANCE]])-1)),"")</f>
        <v>181285.11989217723</v>
      </c>
      <c r="E173" s="177">
        <f>IF(PaymentSchedule[[#This Row],[PMT NO]]&lt;&gt;"",ScheduledPayment,"")</f>
        <v>1342.0540575303476</v>
      </c>
      <c r="F17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3" s="177">
        <f>IF(PaymentSchedule[[#This Row],[PMT NO]]&lt;&gt;"",PaymentSchedule[[#This Row],[TOTAL PAYMENT]]-PaymentSchedule[[#This Row],[INTEREST]],"")</f>
        <v>586.69939131294245</v>
      </c>
      <c r="I173" s="177">
        <f>IF(PaymentSchedule[[#This Row],[PMT NO]]&lt;&gt;"",PaymentSchedule[[#This Row],[BEGINNING BALANCE]]*(InterestRate/PaymentsPerYear),"")</f>
        <v>755.35466621740511</v>
      </c>
      <c r="J17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180698.42050086427</v>
      </c>
      <c r="K173" s="177">
        <f>IF(PaymentSchedule[[#This Row],[PMT NO]]&lt;&gt;"",SUM(INDEX(PaymentSchedule[INTEREST],1,1):PaymentSchedule[[#This Row],[INTEREST]]),"")</f>
        <v>148111.17782078043</v>
      </c>
      <c r="L173" s="178"/>
    </row>
    <row r="174" spans="2:12" x14ac:dyDescent="0.2">
      <c r="B174" s="175">
        <f>IF(LoanIsGood,IF(ROW()-ROW(PaymentSchedule[[#Headers],[PMT NO]])&gt;ScheduledNumberOfPayments,"",ROW()-ROW(PaymentSchedule[[#Headers],[PMT NO]])),"")</f>
        <v>163</v>
      </c>
      <c r="C174" s="176">
        <f>IF(PaymentSchedule[[#This Row],[PMT NO]]&lt;&gt;"",EOMONTH(LoanStartDate,ROW(PaymentSchedule[[#This Row],[PMT NO]])-ROW(PaymentSchedule[[#Headers],[PMT NO]])-2)+DAY(LoanStartDate),"")</f>
        <v>49949</v>
      </c>
      <c r="D174" s="177">
        <f>IF(PaymentSchedule[[#This Row],[PMT NO]]&lt;&gt;"",IF(ROW()-ROW(PaymentSchedule[[#Headers],[BEGINNING BALANCE]])=1,LoanAmount,INDEX(PaymentSchedule[ENDING BALANCE],ROW()-ROW(PaymentSchedule[[#Headers],[BEGINNING BALANCE]])-1)),"")</f>
        <v>180698.42050086427</v>
      </c>
      <c r="E174" s="177">
        <f>IF(PaymentSchedule[[#This Row],[PMT NO]]&lt;&gt;"",ScheduledPayment,"")</f>
        <v>1342.0540575303476</v>
      </c>
      <c r="F17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4" s="177">
        <f>IF(PaymentSchedule[[#This Row],[PMT NO]]&lt;&gt;"",PaymentSchedule[[#This Row],[TOTAL PAYMENT]]-PaymentSchedule[[#This Row],[INTEREST]],"")</f>
        <v>589.14397211007974</v>
      </c>
      <c r="I174" s="177">
        <f>IF(PaymentSchedule[[#This Row],[PMT NO]]&lt;&gt;"",PaymentSchedule[[#This Row],[BEGINNING BALANCE]]*(InterestRate/PaymentsPerYear),"")</f>
        <v>752.91008542026782</v>
      </c>
      <c r="J17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180109.27652875418</v>
      </c>
      <c r="K174" s="177">
        <f>IF(PaymentSchedule[[#This Row],[PMT NO]]&lt;&gt;"",SUM(INDEX(PaymentSchedule[INTEREST],1,1):PaymentSchedule[[#This Row],[INTEREST]]),"")</f>
        <v>148864.0879062007</v>
      </c>
      <c r="L174" s="178"/>
    </row>
    <row r="175" spans="2:12" x14ac:dyDescent="0.2">
      <c r="B175" s="175">
        <f>IF(LoanIsGood,IF(ROW()-ROW(PaymentSchedule[[#Headers],[PMT NO]])&gt;ScheduledNumberOfPayments,"",ROW()-ROW(PaymentSchedule[[#Headers],[PMT NO]])),"")</f>
        <v>164</v>
      </c>
      <c r="C175" s="176">
        <f>IF(PaymentSchedule[[#This Row],[PMT NO]]&lt;&gt;"",EOMONTH(LoanStartDate,ROW(PaymentSchedule[[#This Row],[PMT NO]])-ROW(PaymentSchedule[[#Headers],[PMT NO]])-2)+DAY(LoanStartDate),"")</f>
        <v>49980</v>
      </c>
      <c r="D175" s="177">
        <f>IF(PaymentSchedule[[#This Row],[PMT NO]]&lt;&gt;"",IF(ROW()-ROW(PaymentSchedule[[#Headers],[BEGINNING BALANCE]])=1,LoanAmount,INDEX(PaymentSchedule[ENDING BALANCE],ROW()-ROW(PaymentSchedule[[#Headers],[BEGINNING BALANCE]])-1)),"")</f>
        <v>180109.27652875418</v>
      </c>
      <c r="E175" s="177">
        <f>IF(PaymentSchedule[[#This Row],[PMT NO]]&lt;&gt;"",ScheduledPayment,"")</f>
        <v>1342.0540575303476</v>
      </c>
      <c r="F17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5" s="177">
        <f>IF(PaymentSchedule[[#This Row],[PMT NO]]&lt;&gt;"",PaymentSchedule[[#This Row],[TOTAL PAYMENT]]-PaymentSchedule[[#This Row],[INTEREST]],"")</f>
        <v>591.59873866053852</v>
      </c>
      <c r="I175" s="177">
        <f>IF(PaymentSchedule[[#This Row],[PMT NO]]&lt;&gt;"",PaymentSchedule[[#This Row],[BEGINNING BALANCE]]*(InterestRate/PaymentsPerYear),"")</f>
        <v>750.45531886980905</v>
      </c>
      <c r="J17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179517.67779009364</v>
      </c>
      <c r="K175" s="177">
        <f>IF(PaymentSchedule[[#This Row],[PMT NO]]&lt;&gt;"",SUM(INDEX(PaymentSchedule[INTEREST],1,1):PaymentSchedule[[#This Row],[INTEREST]]),"")</f>
        <v>149614.54322507052</v>
      </c>
      <c r="L175" s="178"/>
    </row>
    <row r="176" spans="2:12" x14ac:dyDescent="0.2">
      <c r="B176" s="175">
        <f>IF(LoanIsGood,IF(ROW()-ROW(PaymentSchedule[[#Headers],[PMT NO]])&gt;ScheduledNumberOfPayments,"",ROW()-ROW(PaymentSchedule[[#Headers],[PMT NO]])),"")</f>
        <v>165</v>
      </c>
      <c r="C176" s="176">
        <f>IF(PaymentSchedule[[#This Row],[PMT NO]]&lt;&gt;"",EOMONTH(LoanStartDate,ROW(PaymentSchedule[[#This Row],[PMT NO]])-ROW(PaymentSchedule[[#Headers],[PMT NO]])-2)+DAY(LoanStartDate),"")</f>
        <v>50010</v>
      </c>
      <c r="D176" s="177">
        <f>IF(PaymentSchedule[[#This Row],[PMT NO]]&lt;&gt;"",IF(ROW()-ROW(PaymentSchedule[[#Headers],[BEGINNING BALANCE]])=1,LoanAmount,INDEX(PaymentSchedule[ENDING BALANCE],ROW()-ROW(PaymentSchedule[[#Headers],[BEGINNING BALANCE]])-1)),"")</f>
        <v>179517.67779009364</v>
      </c>
      <c r="E176" s="177">
        <f>IF(PaymentSchedule[[#This Row],[PMT NO]]&lt;&gt;"",ScheduledPayment,"")</f>
        <v>1342.0540575303476</v>
      </c>
      <c r="F17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6" s="177">
        <f>IF(PaymentSchedule[[#This Row],[PMT NO]]&lt;&gt;"",PaymentSchedule[[#This Row],[TOTAL PAYMENT]]-PaymentSchedule[[#This Row],[INTEREST]],"")</f>
        <v>594.06373340495736</v>
      </c>
      <c r="I176" s="177">
        <f>IF(PaymentSchedule[[#This Row],[PMT NO]]&lt;&gt;"",PaymentSchedule[[#This Row],[BEGINNING BALANCE]]*(InterestRate/PaymentsPerYear),"")</f>
        <v>747.9903241253902</v>
      </c>
      <c r="J17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178923.61405668868</v>
      </c>
      <c r="K176" s="177">
        <f>IF(PaymentSchedule[[#This Row],[PMT NO]]&lt;&gt;"",SUM(INDEX(PaymentSchedule[INTEREST],1,1):PaymentSchedule[[#This Row],[INTEREST]]),"")</f>
        <v>150362.53354919591</v>
      </c>
      <c r="L176" s="178"/>
    </row>
    <row r="177" spans="2:12" x14ac:dyDescent="0.2">
      <c r="B177" s="175">
        <f>IF(LoanIsGood,IF(ROW()-ROW(PaymentSchedule[[#Headers],[PMT NO]])&gt;ScheduledNumberOfPayments,"",ROW()-ROW(PaymentSchedule[[#Headers],[PMT NO]])),"")</f>
        <v>166</v>
      </c>
      <c r="C177" s="176">
        <f>IF(PaymentSchedule[[#This Row],[PMT NO]]&lt;&gt;"",EOMONTH(LoanStartDate,ROW(PaymentSchedule[[#This Row],[PMT NO]])-ROW(PaymentSchedule[[#Headers],[PMT NO]])-2)+DAY(LoanStartDate),"")</f>
        <v>50041</v>
      </c>
      <c r="D177" s="177">
        <f>IF(PaymentSchedule[[#This Row],[PMT NO]]&lt;&gt;"",IF(ROW()-ROW(PaymentSchedule[[#Headers],[BEGINNING BALANCE]])=1,LoanAmount,INDEX(PaymentSchedule[ENDING BALANCE],ROW()-ROW(PaymentSchedule[[#Headers],[BEGINNING BALANCE]])-1)),"")</f>
        <v>178923.61405668868</v>
      </c>
      <c r="E177" s="177">
        <f>IF(PaymentSchedule[[#This Row],[PMT NO]]&lt;&gt;"",ScheduledPayment,"")</f>
        <v>1342.0540575303476</v>
      </c>
      <c r="F17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7" s="177">
        <f>IF(PaymentSchedule[[#This Row],[PMT NO]]&lt;&gt;"",PaymentSchedule[[#This Row],[TOTAL PAYMENT]]-PaymentSchedule[[#This Row],[INTEREST]],"")</f>
        <v>596.53899896081145</v>
      </c>
      <c r="I177" s="177">
        <f>IF(PaymentSchedule[[#This Row],[PMT NO]]&lt;&gt;"",PaymentSchedule[[#This Row],[BEGINNING BALANCE]]*(InterestRate/PaymentsPerYear),"")</f>
        <v>745.51505856953611</v>
      </c>
      <c r="J17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178327.07505772787</v>
      </c>
      <c r="K177" s="177">
        <f>IF(PaymentSchedule[[#This Row],[PMT NO]]&lt;&gt;"",SUM(INDEX(PaymentSchedule[INTEREST],1,1):PaymentSchedule[[#This Row],[INTEREST]]),"")</f>
        <v>151108.04860776544</v>
      </c>
      <c r="L177" s="178"/>
    </row>
    <row r="178" spans="2:12" x14ac:dyDescent="0.2">
      <c r="B178" s="175">
        <f>IF(LoanIsGood,IF(ROW()-ROW(PaymentSchedule[[#Headers],[PMT NO]])&gt;ScheduledNumberOfPayments,"",ROW()-ROW(PaymentSchedule[[#Headers],[PMT NO]])),"")</f>
        <v>167</v>
      </c>
      <c r="C178" s="176">
        <f>IF(PaymentSchedule[[#This Row],[PMT NO]]&lt;&gt;"",EOMONTH(LoanStartDate,ROW(PaymentSchedule[[#This Row],[PMT NO]])-ROW(PaymentSchedule[[#Headers],[PMT NO]])-2)+DAY(LoanStartDate),"")</f>
        <v>50072</v>
      </c>
      <c r="D178" s="177">
        <f>IF(PaymentSchedule[[#This Row],[PMT NO]]&lt;&gt;"",IF(ROW()-ROW(PaymentSchedule[[#Headers],[BEGINNING BALANCE]])=1,LoanAmount,INDEX(PaymentSchedule[ENDING BALANCE],ROW()-ROW(PaymentSchedule[[#Headers],[BEGINNING BALANCE]])-1)),"")</f>
        <v>178327.07505772787</v>
      </c>
      <c r="E178" s="177">
        <f>IF(PaymentSchedule[[#This Row],[PMT NO]]&lt;&gt;"",ScheduledPayment,"")</f>
        <v>1342.0540575303476</v>
      </c>
      <c r="F17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8" s="177">
        <f>IF(PaymentSchedule[[#This Row],[PMT NO]]&lt;&gt;"",PaymentSchedule[[#This Row],[TOTAL PAYMENT]]-PaymentSchedule[[#This Row],[INTEREST]],"")</f>
        <v>599.0245781231481</v>
      </c>
      <c r="I178" s="177">
        <f>IF(PaymentSchedule[[#This Row],[PMT NO]]&lt;&gt;"",PaymentSchedule[[#This Row],[BEGINNING BALANCE]]*(InterestRate/PaymentsPerYear),"")</f>
        <v>743.02947940719946</v>
      </c>
      <c r="J17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177728.05047960472</v>
      </c>
      <c r="K178" s="177">
        <f>IF(PaymentSchedule[[#This Row],[PMT NO]]&lt;&gt;"",SUM(INDEX(PaymentSchedule[INTEREST],1,1):PaymentSchedule[[#This Row],[INTEREST]]),"")</f>
        <v>151851.07808717265</v>
      </c>
      <c r="L178" s="178"/>
    </row>
    <row r="179" spans="2:12" x14ac:dyDescent="0.2">
      <c r="B179" s="175">
        <f>IF(LoanIsGood,IF(ROW()-ROW(PaymentSchedule[[#Headers],[PMT NO]])&gt;ScheduledNumberOfPayments,"",ROW()-ROW(PaymentSchedule[[#Headers],[PMT NO]])),"")</f>
        <v>168</v>
      </c>
      <c r="C179" s="176">
        <f>IF(PaymentSchedule[[#This Row],[PMT NO]]&lt;&gt;"",EOMONTH(LoanStartDate,ROW(PaymentSchedule[[#This Row],[PMT NO]])-ROW(PaymentSchedule[[#Headers],[PMT NO]])-2)+DAY(LoanStartDate),"")</f>
        <v>50100</v>
      </c>
      <c r="D179" s="177">
        <f>IF(PaymentSchedule[[#This Row],[PMT NO]]&lt;&gt;"",IF(ROW()-ROW(PaymentSchedule[[#Headers],[BEGINNING BALANCE]])=1,LoanAmount,INDEX(PaymentSchedule[ENDING BALANCE],ROW()-ROW(PaymentSchedule[[#Headers],[BEGINNING BALANCE]])-1)),"")</f>
        <v>177728.05047960472</v>
      </c>
      <c r="E179" s="177">
        <f>IF(PaymentSchedule[[#This Row],[PMT NO]]&lt;&gt;"",ScheduledPayment,"")</f>
        <v>1342.0540575303476</v>
      </c>
      <c r="F17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79" s="177">
        <f>IF(PaymentSchedule[[#This Row],[PMT NO]]&lt;&gt;"",PaymentSchedule[[#This Row],[TOTAL PAYMENT]]-PaymentSchedule[[#This Row],[INTEREST]],"")</f>
        <v>601.52051386532787</v>
      </c>
      <c r="I179" s="177">
        <f>IF(PaymentSchedule[[#This Row],[PMT NO]]&lt;&gt;"",PaymentSchedule[[#This Row],[BEGINNING BALANCE]]*(InterestRate/PaymentsPerYear),"")</f>
        <v>740.53354366501969</v>
      </c>
      <c r="J17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177126.52996573938</v>
      </c>
      <c r="K179" s="177">
        <f>IF(PaymentSchedule[[#This Row],[PMT NO]]&lt;&gt;"",SUM(INDEX(PaymentSchedule[INTEREST],1,1):PaymentSchedule[[#This Row],[INTEREST]]),"")</f>
        <v>152591.61163083767</v>
      </c>
      <c r="L179" s="178"/>
    </row>
    <row r="180" spans="2:12" x14ac:dyDescent="0.2">
      <c r="B180" s="175">
        <f>IF(LoanIsGood,IF(ROW()-ROW(PaymentSchedule[[#Headers],[PMT NO]])&gt;ScheduledNumberOfPayments,"",ROW()-ROW(PaymentSchedule[[#Headers],[PMT NO]])),"")</f>
        <v>169</v>
      </c>
      <c r="C180" s="176">
        <f>IF(PaymentSchedule[[#This Row],[PMT NO]]&lt;&gt;"",EOMONTH(LoanStartDate,ROW(PaymentSchedule[[#This Row],[PMT NO]])-ROW(PaymentSchedule[[#Headers],[PMT NO]])-2)+DAY(LoanStartDate),"")</f>
        <v>50131</v>
      </c>
      <c r="D180" s="177">
        <f>IF(PaymentSchedule[[#This Row],[PMT NO]]&lt;&gt;"",IF(ROW()-ROW(PaymentSchedule[[#Headers],[BEGINNING BALANCE]])=1,LoanAmount,INDEX(PaymentSchedule[ENDING BALANCE],ROW()-ROW(PaymentSchedule[[#Headers],[BEGINNING BALANCE]])-1)),"")</f>
        <v>177126.52996573938</v>
      </c>
      <c r="E180" s="177">
        <f>IF(PaymentSchedule[[#This Row],[PMT NO]]&lt;&gt;"",ScheduledPayment,"")</f>
        <v>1342.0540575303476</v>
      </c>
      <c r="F18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0" s="177">
        <f>IF(PaymentSchedule[[#This Row],[PMT NO]]&lt;&gt;"",PaymentSchedule[[#This Row],[TOTAL PAYMENT]]-PaymentSchedule[[#This Row],[INTEREST]],"")</f>
        <v>604.02684933976684</v>
      </c>
      <c r="I180" s="177">
        <f>IF(PaymentSchedule[[#This Row],[PMT NO]]&lt;&gt;"",PaymentSchedule[[#This Row],[BEGINNING BALANCE]]*(InterestRate/PaymentsPerYear),"")</f>
        <v>738.02720819058072</v>
      </c>
      <c r="J18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176522.5031163996</v>
      </c>
      <c r="K180" s="177">
        <f>IF(PaymentSchedule[[#This Row],[PMT NO]]&lt;&gt;"",SUM(INDEX(PaymentSchedule[INTEREST],1,1):PaymentSchedule[[#This Row],[INTEREST]]),"")</f>
        <v>153329.63883902825</v>
      </c>
      <c r="L180" s="178"/>
    </row>
    <row r="181" spans="2:12" x14ac:dyDescent="0.2">
      <c r="B181" s="175">
        <f>IF(LoanIsGood,IF(ROW()-ROW(PaymentSchedule[[#Headers],[PMT NO]])&gt;ScheduledNumberOfPayments,"",ROW()-ROW(PaymentSchedule[[#Headers],[PMT NO]])),"")</f>
        <v>170</v>
      </c>
      <c r="C181" s="176">
        <f>IF(PaymentSchedule[[#This Row],[PMT NO]]&lt;&gt;"",EOMONTH(LoanStartDate,ROW(PaymentSchedule[[#This Row],[PMT NO]])-ROW(PaymentSchedule[[#Headers],[PMT NO]])-2)+DAY(LoanStartDate),"")</f>
        <v>50161</v>
      </c>
      <c r="D181" s="177">
        <f>IF(PaymentSchedule[[#This Row],[PMT NO]]&lt;&gt;"",IF(ROW()-ROW(PaymentSchedule[[#Headers],[BEGINNING BALANCE]])=1,LoanAmount,INDEX(PaymentSchedule[ENDING BALANCE],ROW()-ROW(PaymentSchedule[[#Headers],[BEGINNING BALANCE]])-1)),"")</f>
        <v>176522.5031163996</v>
      </c>
      <c r="E181" s="177">
        <f>IF(PaymentSchedule[[#This Row],[PMT NO]]&lt;&gt;"",ScheduledPayment,"")</f>
        <v>1342.0540575303476</v>
      </c>
      <c r="F18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1" s="177">
        <f>IF(PaymentSchedule[[#This Row],[PMT NO]]&lt;&gt;"",PaymentSchedule[[#This Row],[TOTAL PAYMENT]]-PaymentSchedule[[#This Row],[INTEREST]],"")</f>
        <v>606.54362787868251</v>
      </c>
      <c r="I181" s="177">
        <f>IF(PaymentSchedule[[#This Row],[PMT NO]]&lt;&gt;"",PaymentSchedule[[#This Row],[BEGINNING BALANCE]]*(InterestRate/PaymentsPerYear),"")</f>
        <v>735.51042965166505</v>
      </c>
      <c r="J18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175915.95948852092</v>
      </c>
      <c r="K181" s="177">
        <f>IF(PaymentSchedule[[#This Row],[PMT NO]]&lt;&gt;"",SUM(INDEX(PaymentSchedule[INTEREST],1,1):PaymentSchedule[[#This Row],[INTEREST]]),"")</f>
        <v>154065.1492686799</v>
      </c>
      <c r="L181" s="178"/>
    </row>
    <row r="182" spans="2:12" x14ac:dyDescent="0.2">
      <c r="B182" s="175">
        <f>IF(LoanIsGood,IF(ROW()-ROW(PaymentSchedule[[#Headers],[PMT NO]])&gt;ScheduledNumberOfPayments,"",ROW()-ROW(PaymentSchedule[[#Headers],[PMT NO]])),"")</f>
        <v>171</v>
      </c>
      <c r="C182" s="176">
        <f>IF(PaymentSchedule[[#This Row],[PMT NO]]&lt;&gt;"",EOMONTH(LoanStartDate,ROW(PaymentSchedule[[#This Row],[PMT NO]])-ROW(PaymentSchedule[[#Headers],[PMT NO]])-2)+DAY(LoanStartDate),"")</f>
        <v>50192</v>
      </c>
      <c r="D182" s="177">
        <f>IF(PaymentSchedule[[#This Row],[PMT NO]]&lt;&gt;"",IF(ROW()-ROW(PaymentSchedule[[#Headers],[BEGINNING BALANCE]])=1,LoanAmount,INDEX(PaymentSchedule[ENDING BALANCE],ROW()-ROW(PaymentSchedule[[#Headers],[BEGINNING BALANCE]])-1)),"")</f>
        <v>175915.95948852092</v>
      </c>
      <c r="E182" s="177">
        <f>IF(PaymentSchedule[[#This Row],[PMT NO]]&lt;&gt;"",ScheduledPayment,"")</f>
        <v>1342.0540575303476</v>
      </c>
      <c r="F18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2" s="177">
        <f>IF(PaymentSchedule[[#This Row],[PMT NO]]&lt;&gt;"",PaymentSchedule[[#This Row],[TOTAL PAYMENT]]-PaymentSchedule[[#This Row],[INTEREST]],"")</f>
        <v>609.07089299484369</v>
      </c>
      <c r="I182" s="177">
        <f>IF(PaymentSchedule[[#This Row],[PMT NO]]&lt;&gt;"",PaymentSchedule[[#This Row],[BEGINNING BALANCE]]*(InterestRate/PaymentsPerYear),"")</f>
        <v>732.98316453550387</v>
      </c>
      <c r="J18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175306.88859552608</v>
      </c>
      <c r="K182" s="177">
        <f>IF(PaymentSchedule[[#This Row],[PMT NO]]&lt;&gt;"",SUM(INDEX(PaymentSchedule[INTEREST],1,1):PaymentSchedule[[#This Row],[INTEREST]]),"")</f>
        <v>154798.13243321542</v>
      </c>
      <c r="L182" s="178"/>
    </row>
    <row r="183" spans="2:12" x14ac:dyDescent="0.2">
      <c r="B183" s="175">
        <f>IF(LoanIsGood,IF(ROW()-ROW(PaymentSchedule[[#Headers],[PMT NO]])&gt;ScheduledNumberOfPayments,"",ROW()-ROW(PaymentSchedule[[#Headers],[PMT NO]])),"")</f>
        <v>172</v>
      </c>
      <c r="C183" s="176">
        <f>IF(PaymentSchedule[[#This Row],[PMT NO]]&lt;&gt;"",EOMONTH(LoanStartDate,ROW(PaymentSchedule[[#This Row],[PMT NO]])-ROW(PaymentSchedule[[#Headers],[PMT NO]])-2)+DAY(LoanStartDate),"")</f>
        <v>50222</v>
      </c>
      <c r="D183" s="177">
        <f>IF(PaymentSchedule[[#This Row],[PMT NO]]&lt;&gt;"",IF(ROW()-ROW(PaymentSchedule[[#Headers],[BEGINNING BALANCE]])=1,LoanAmount,INDEX(PaymentSchedule[ENDING BALANCE],ROW()-ROW(PaymentSchedule[[#Headers],[BEGINNING BALANCE]])-1)),"")</f>
        <v>175306.88859552608</v>
      </c>
      <c r="E183" s="177">
        <f>IF(PaymentSchedule[[#This Row],[PMT NO]]&lt;&gt;"",ScheduledPayment,"")</f>
        <v>1342.0540575303476</v>
      </c>
      <c r="F18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3" s="177">
        <f>IF(PaymentSchedule[[#This Row],[PMT NO]]&lt;&gt;"",PaymentSchedule[[#This Row],[TOTAL PAYMENT]]-PaymentSchedule[[#This Row],[INTEREST]],"")</f>
        <v>611.60868838232227</v>
      </c>
      <c r="I183" s="177">
        <f>IF(PaymentSchedule[[#This Row],[PMT NO]]&lt;&gt;"",PaymentSchedule[[#This Row],[BEGINNING BALANCE]]*(InterestRate/PaymentsPerYear),"")</f>
        <v>730.44536914802529</v>
      </c>
      <c r="J18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174695.27990714376</v>
      </c>
      <c r="K183" s="177">
        <f>IF(PaymentSchedule[[#This Row],[PMT NO]]&lt;&gt;"",SUM(INDEX(PaymentSchedule[INTEREST],1,1):PaymentSchedule[[#This Row],[INTEREST]]),"")</f>
        <v>155528.57780236343</v>
      </c>
      <c r="L183" s="178"/>
    </row>
    <row r="184" spans="2:12" x14ac:dyDescent="0.2">
      <c r="B184" s="175">
        <f>IF(LoanIsGood,IF(ROW()-ROW(PaymentSchedule[[#Headers],[PMT NO]])&gt;ScheduledNumberOfPayments,"",ROW()-ROW(PaymentSchedule[[#Headers],[PMT NO]])),"")</f>
        <v>173</v>
      </c>
      <c r="C184" s="176">
        <f>IF(PaymentSchedule[[#This Row],[PMT NO]]&lt;&gt;"",EOMONTH(LoanStartDate,ROW(PaymentSchedule[[#This Row],[PMT NO]])-ROW(PaymentSchedule[[#Headers],[PMT NO]])-2)+DAY(LoanStartDate),"")</f>
        <v>50253</v>
      </c>
      <c r="D184" s="177">
        <f>IF(PaymentSchedule[[#This Row],[PMT NO]]&lt;&gt;"",IF(ROW()-ROW(PaymentSchedule[[#Headers],[BEGINNING BALANCE]])=1,LoanAmount,INDEX(PaymentSchedule[ENDING BALANCE],ROW()-ROW(PaymentSchedule[[#Headers],[BEGINNING BALANCE]])-1)),"")</f>
        <v>174695.27990714376</v>
      </c>
      <c r="E184" s="177">
        <f>IF(PaymentSchedule[[#This Row],[PMT NO]]&lt;&gt;"",ScheduledPayment,"")</f>
        <v>1342.0540575303476</v>
      </c>
      <c r="F18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4" s="177">
        <f>IF(PaymentSchedule[[#This Row],[PMT NO]]&lt;&gt;"",PaymentSchedule[[#This Row],[TOTAL PAYMENT]]-PaymentSchedule[[#This Row],[INTEREST]],"")</f>
        <v>614.15705791724861</v>
      </c>
      <c r="I184" s="177">
        <f>IF(PaymentSchedule[[#This Row],[PMT NO]]&lt;&gt;"",PaymentSchedule[[#This Row],[BEGINNING BALANCE]]*(InterestRate/PaymentsPerYear),"")</f>
        <v>727.89699961309896</v>
      </c>
      <c r="J18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174081.12284922652</v>
      </c>
      <c r="K184" s="177">
        <f>IF(PaymentSchedule[[#This Row],[PMT NO]]&lt;&gt;"",SUM(INDEX(PaymentSchedule[INTEREST],1,1):PaymentSchedule[[#This Row],[INTEREST]]),"")</f>
        <v>156256.47480197652</v>
      </c>
      <c r="L184" s="178"/>
    </row>
    <row r="185" spans="2:12" x14ac:dyDescent="0.2">
      <c r="B185" s="175">
        <f>IF(LoanIsGood,IF(ROW()-ROW(PaymentSchedule[[#Headers],[PMT NO]])&gt;ScheduledNumberOfPayments,"",ROW()-ROW(PaymentSchedule[[#Headers],[PMT NO]])),"")</f>
        <v>174</v>
      </c>
      <c r="C185" s="176">
        <f>IF(PaymentSchedule[[#This Row],[PMT NO]]&lt;&gt;"",EOMONTH(LoanStartDate,ROW(PaymentSchedule[[#This Row],[PMT NO]])-ROW(PaymentSchedule[[#Headers],[PMT NO]])-2)+DAY(LoanStartDate),"")</f>
        <v>50284</v>
      </c>
      <c r="D185" s="177">
        <f>IF(PaymentSchedule[[#This Row],[PMT NO]]&lt;&gt;"",IF(ROW()-ROW(PaymentSchedule[[#Headers],[BEGINNING BALANCE]])=1,LoanAmount,INDEX(PaymentSchedule[ENDING BALANCE],ROW()-ROW(PaymentSchedule[[#Headers],[BEGINNING BALANCE]])-1)),"")</f>
        <v>174081.12284922652</v>
      </c>
      <c r="E185" s="177">
        <f>IF(PaymentSchedule[[#This Row],[PMT NO]]&lt;&gt;"",ScheduledPayment,"")</f>
        <v>1342.0540575303476</v>
      </c>
      <c r="F18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5" s="177">
        <f>IF(PaymentSchedule[[#This Row],[PMT NO]]&lt;&gt;"",PaymentSchedule[[#This Row],[TOTAL PAYMENT]]-PaymentSchedule[[#This Row],[INTEREST]],"")</f>
        <v>616.71604565857035</v>
      </c>
      <c r="I185" s="177">
        <f>IF(PaymentSchedule[[#This Row],[PMT NO]]&lt;&gt;"",PaymentSchedule[[#This Row],[BEGINNING BALANCE]]*(InterestRate/PaymentsPerYear),"")</f>
        <v>725.33801187177721</v>
      </c>
      <c r="J18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173464.40680356795</v>
      </c>
      <c r="K185" s="177">
        <f>IF(PaymentSchedule[[#This Row],[PMT NO]]&lt;&gt;"",SUM(INDEX(PaymentSchedule[INTEREST],1,1):PaymentSchedule[[#This Row],[INTEREST]]),"")</f>
        <v>156981.81281384832</v>
      </c>
      <c r="L185" s="178"/>
    </row>
    <row r="186" spans="2:12" x14ac:dyDescent="0.2">
      <c r="B186" s="175">
        <f>IF(LoanIsGood,IF(ROW()-ROW(PaymentSchedule[[#Headers],[PMT NO]])&gt;ScheduledNumberOfPayments,"",ROW()-ROW(PaymentSchedule[[#Headers],[PMT NO]])),"")</f>
        <v>175</v>
      </c>
      <c r="C186" s="176">
        <f>IF(PaymentSchedule[[#This Row],[PMT NO]]&lt;&gt;"",EOMONTH(LoanStartDate,ROW(PaymentSchedule[[#This Row],[PMT NO]])-ROW(PaymentSchedule[[#Headers],[PMT NO]])-2)+DAY(LoanStartDate),"")</f>
        <v>50314</v>
      </c>
      <c r="D186" s="177">
        <f>IF(PaymentSchedule[[#This Row],[PMT NO]]&lt;&gt;"",IF(ROW()-ROW(PaymentSchedule[[#Headers],[BEGINNING BALANCE]])=1,LoanAmount,INDEX(PaymentSchedule[ENDING BALANCE],ROW()-ROW(PaymentSchedule[[#Headers],[BEGINNING BALANCE]])-1)),"")</f>
        <v>173464.40680356795</v>
      </c>
      <c r="E186" s="177">
        <f>IF(PaymentSchedule[[#This Row],[PMT NO]]&lt;&gt;"",ScheduledPayment,"")</f>
        <v>1342.0540575303476</v>
      </c>
      <c r="F18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6" s="177">
        <f>IF(PaymentSchedule[[#This Row],[PMT NO]]&lt;&gt;"",PaymentSchedule[[#This Row],[TOTAL PAYMENT]]-PaymentSchedule[[#This Row],[INTEREST]],"")</f>
        <v>619.28569584881438</v>
      </c>
      <c r="I186" s="177">
        <f>IF(PaymentSchedule[[#This Row],[PMT NO]]&lt;&gt;"",PaymentSchedule[[#This Row],[BEGINNING BALANCE]]*(InterestRate/PaymentsPerYear),"")</f>
        <v>722.76836168153318</v>
      </c>
      <c r="J18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172845.12110771914</v>
      </c>
      <c r="K186" s="177">
        <f>IF(PaymentSchedule[[#This Row],[PMT NO]]&lt;&gt;"",SUM(INDEX(PaymentSchedule[INTEREST],1,1):PaymentSchedule[[#This Row],[INTEREST]]),"")</f>
        <v>157704.58117552983</v>
      </c>
      <c r="L186" s="178"/>
    </row>
    <row r="187" spans="2:12" x14ac:dyDescent="0.2">
      <c r="B187" s="175">
        <f>IF(LoanIsGood,IF(ROW()-ROW(PaymentSchedule[[#Headers],[PMT NO]])&gt;ScheduledNumberOfPayments,"",ROW()-ROW(PaymentSchedule[[#Headers],[PMT NO]])),"")</f>
        <v>176</v>
      </c>
      <c r="C187" s="176">
        <f>IF(PaymentSchedule[[#This Row],[PMT NO]]&lt;&gt;"",EOMONTH(LoanStartDate,ROW(PaymentSchedule[[#This Row],[PMT NO]])-ROW(PaymentSchedule[[#Headers],[PMT NO]])-2)+DAY(LoanStartDate),"")</f>
        <v>50345</v>
      </c>
      <c r="D187" s="177">
        <f>IF(PaymentSchedule[[#This Row],[PMT NO]]&lt;&gt;"",IF(ROW()-ROW(PaymentSchedule[[#Headers],[BEGINNING BALANCE]])=1,LoanAmount,INDEX(PaymentSchedule[ENDING BALANCE],ROW()-ROW(PaymentSchedule[[#Headers],[BEGINNING BALANCE]])-1)),"")</f>
        <v>172845.12110771914</v>
      </c>
      <c r="E187" s="177">
        <f>IF(PaymentSchedule[[#This Row],[PMT NO]]&lt;&gt;"",ScheduledPayment,"")</f>
        <v>1342.0540575303476</v>
      </c>
      <c r="F18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7" s="177">
        <f>IF(PaymentSchedule[[#This Row],[PMT NO]]&lt;&gt;"",PaymentSchedule[[#This Row],[TOTAL PAYMENT]]-PaymentSchedule[[#This Row],[INTEREST]],"")</f>
        <v>621.86605291485114</v>
      </c>
      <c r="I187" s="177">
        <f>IF(PaymentSchedule[[#This Row],[PMT NO]]&lt;&gt;"",PaymentSchedule[[#This Row],[BEGINNING BALANCE]]*(InterestRate/PaymentsPerYear),"")</f>
        <v>720.18800461549642</v>
      </c>
      <c r="J18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172223.25505480429</v>
      </c>
      <c r="K187" s="177">
        <f>IF(PaymentSchedule[[#This Row],[PMT NO]]&lt;&gt;"",SUM(INDEX(PaymentSchedule[INTEREST],1,1):PaymentSchedule[[#This Row],[INTEREST]]),"")</f>
        <v>158424.76918014532</v>
      </c>
      <c r="L187" s="178"/>
    </row>
    <row r="188" spans="2:12" x14ac:dyDescent="0.2">
      <c r="B188" s="175">
        <f>IF(LoanIsGood,IF(ROW()-ROW(PaymentSchedule[[#Headers],[PMT NO]])&gt;ScheduledNumberOfPayments,"",ROW()-ROW(PaymentSchedule[[#Headers],[PMT NO]])),"")</f>
        <v>177</v>
      </c>
      <c r="C188" s="176">
        <f>IF(PaymentSchedule[[#This Row],[PMT NO]]&lt;&gt;"",EOMONTH(LoanStartDate,ROW(PaymentSchedule[[#This Row],[PMT NO]])-ROW(PaymentSchedule[[#Headers],[PMT NO]])-2)+DAY(LoanStartDate),"")</f>
        <v>50375</v>
      </c>
      <c r="D188" s="177">
        <f>IF(PaymentSchedule[[#This Row],[PMT NO]]&lt;&gt;"",IF(ROW()-ROW(PaymentSchedule[[#Headers],[BEGINNING BALANCE]])=1,LoanAmount,INDEX(PaymentSchedule[ENDING BALANCE],ROW()-ROW(PaymentSchedule[[#Headers],[BEGINNING BALANCE]])-1)),"")</f>
        <v>172223.25505480429</v>
      </c>
      <c r="E188" s="177">
        <f>IF(PaymentSchedule[[#This Row],[PMT NO]]&lt;&gt;"",ScheduledPayment,"")</f>
        <v>1342.0540575303476</v>
      </c>
      <c r="F18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8" s="177">
        <f>IF(PaymentSchedule[[#This Row],[PMT NO]]&lt;&gt;"",PaymentSchedule[[#This Row],[TOTAL PAYMENT]]-PaymentSchedule[[#This Row],[INTEREST]],"")</f>
        <v>624.457161468663</v>
      </c>
      <c r="I188" s="177">
        <f>IF(PaymentSchedule[[#This Row],[PMT NO]]&lt;&gt;"",PaymentSchedule[[#This Row],[BEGINNING BALANCE]]*(InterestRate/PaymentsPerYear),"")</f>
        <v>717.59689606168456</v>
      </c>
      <c r="J18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171598.79789333564</v>
      </c>
      <c r="K188" s="177">
        <f>IF(PaymentSchedule[[#This Row],[PMT NO]]&lt;&gt;"",SUM(INDEX(PaymentSchedule[INTEREST],1,1):PaymentSchedule[[#This Row],[INTEREST]]),"")</f>
        <v>159142.36607620699</v>
      </c>
      <c r="L188" s="178"/>
    </row>
    <row r="189" spans="2:12" x14ac:dyDescent="0.2">
      <c r="B189" s="175">
        <f>IF(LoanIsGood,IF(ROW()-ROW(PaymentSchedule[[#Headers],[PMT NO]])&gt;ScheduledNumberOfPayments,"",ROW()-ROW(PaymentSchedule[[#Headers],[PMT NO]])),"")</f>
        <v>178</v>
      </c>
      <c r="C189" s="176">
        <f>IF(PaymentSchedule[[#This Row],[PMT NO]]&lt;&gt;"",EOMONTH(LoanStartDate,ROW(PaymentSchedule[[#This Row],[PMT NO]])-ROW(PaymentSchedule[[#Headers],[PMT NO]])-2)+DAY(LoanStartDate),"")</f>
        <v>50406</v>
      </c>
      <c r="D189" s="177">
        <f>IF(PaymentSchedule[[#This Row],[PMT NO]]&lt;&gt;"",IF(ROW()-ROW(PaymentSchedule[[#Headers],[BEGINNING BALANCE]])=1,LoanAmount,INDEX(PaymentSchedule[ENDING BALANCE],ROW()-ROW(PaymentSchedule[[#Headers],[BEGINNING BALANCE]])-1)),"")</f>
        <v>171598.79789333564</v>
      </c>
      <c r="E189" s="177">
        <f>IF(PaymentSchedule[[#This Row],[PMT NO]]&lt;&gt;"",ScheduledPayment,"")</f>
        <v>1342.0540575303476</v>
      </c>
      <c r="F18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89" s="177">
        <f>IF(PaymentSchedule[[#This Row],[PMT NO]]&lt;&gt;"",PaymentSchedule[[#This Row],[TOTAL PAYMENT]]-PaymentSchedule[[#This Row],[INTEREST]],"")</f>
        <v>627.0590663081158</v>
      </c>
      <c r="I189" s="177">
        <f>IF(PaymentSchedule[[#This Row],[PMT NO]]&lt;&gt;"",PaymentSchedule[[#This Row],[BEGINNING BALANCE]]*(InterestRate/PaymentsPerYear),"")</f>
        <v>714.99499122223176</v>
      </c>
      <c r="J18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170971.73882702753</v>
      </c>
      <c r="K189" s="177">
        <f>IF(PaymentSchedule[[#This Row],[PMT NO]]&lt;&gt;"",SUM(INDEX(PaymentSchedule[INTEREST],1,1):PaymentSchedule[[#This Row],[INTEREST]]),"")</f>
        <v>159857.36106742921</v>
      </c>
      <c r="L189" s="178"/>
    </row>
    <row r="190" spans="2:12" x14ac:dyDescent="0.2">
      <c r="B190" s="175">
        <f>IF(LoanIsGood,IF(ROW()-ROW(PaymentSchedule[[#Headers],[PMT NO]])&gt;ScheduledNumberOfPayments,"",ROW()-ROW(PaymentSchedule[[#Headers],[PMT NO]])),"")</f>
        <v>179</v>
      </c>
      <c r="C190" s="176">
        <f>IF(PaymentSchedule[[#This Row],[PMT NO]]&lt;&gt;"",EOMONTH(LoanStartDate,ROW(PaymentSchedule[[#This Row],[PMT NO]])-ROW(PaymentSchedule[[#Headers],[PMT NO]])-2)+DAY(LoanStartDate),"")</f>
        <v>50437</v>
      </c>
      <c r="D190" s="177">
        <f>IF(PaymentSchedule[[#This Row],[PMT NO]]&lt;&gt;"",IF(ROW()-ROW(PaymentSchedule[[#Headers],[BEGINNING BALANCE]])=1,LoanAmount,INDEX(PaymentSchedule[ENDING BALANCE],ROW()-ROW(PaymentSchedule[[#Headers],[BEGINNING BALANCE]])-1)),"")</f>
        <v>170971.73882702753</v>
      </c>
      <c r="E190" s="177">
        <f>IF(PaymentSchedule[[#This Row],[PMT NO]]&lt;&gt;"",ScheduledPayment,"")</f>
        <v>1342.0540575303476</v>
      </c>
      <c r="F19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0" s="177">
        <f>IF(PaymentSchedule[[#This Row],[PMT NO]]&lt;&gt;"",PaymentSchedule[[#This Row],[TOTAL PAYMENT]]-PaymentSchedule[[#This Row],[INTEREST]],"")</f>
        <v>629.67181241773289</v>
      </c>
      <c r="I190" s="177">
        <f>IF(PaymentSchedule[[#This Row],[PMT NO]]&lt;&gt;"",PaymentSchedule[[#This Row],[BEGINNING BALANCE]]*(InterestRate/PaymentsPerYear),"")</f>
        <v>712.38224511261467</v>
      </c>
      <c r="J19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170342.06701460978</v>
      </c>
      <c r="K190" s="177">
        <f>IF(PaymentSchedule[[#This Row],[PMT NO]]&lt;&gt;"",SUM(INDEX(PaymentSchedule[INTEREST],1,1):PaymentSchedule[[#This Row],[INTEREST]]),"")</f>
        <v>160569.74331254183</v>
      </c>
      <c r="L190" s="178"/>
    </row>
    <row r="191" spans="2:12" x14ac:dyDescent="0.2">
      <c r="B191" s="175">
        <f>IF(LoanIsGood,IF(ROW()-ROW(PaymentSchedule[[#Headers],[PMT NO]])&gt;ScheduledNumberOfPayments,"",ROW()-ROW(PaymentSchedule[[#Headers],[PMT NO]])),"")</f>
        <v>180</v>
      </c>
      <c r="C191" s="176">
        <f>IF(PaymentSchedule[[#This Row],[PMT NO]]&lt;&gt;"",EOMONTH(LoanStartDate,ROW(PaymentSchedule[[#This Row],[PMT NO]])-ROW(PaymentSchedule[[#Headers],[PMT NO]])-2)+DAY(LoanStartDate),"")</f>
        <v>50465</v>
      </c>
      <c r="D191" s="177">
        <f>IF(PaymentSchedule[[#This Row],[PMT NO]]&lt;&gt;"",IF(ROW()-ROW(PaymentSchedule[[#Headers],[BEGINNING BALANCE]])=1,LoanAmount,INDEX(PaymentSchedule[ENDING BALANCE],ROW()-ROW(PaymentSchedule[[#Headers],[BEGINNING BALANCE]])-1)),"")</f>
        <v>170342.06701460978</v>
      </c>
      <c r="E191" s="177">
        <f>IF(PaymentSchedule[[#This Row],[PMT NO]]&lt;&gt;"",ScheduledPayment,"")</f>
        <v>1342.0540575303476</v>
      </c>
      <c r="F19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1" s="177">
        <f>IF(PaymentSchedule[[#This Row],[PMT NO]]&lt;&gt;"",PaymentSchedule[[#This Row],[TOTAL PAYMENT]]-PaymentSchedule[[#This Row],[INTEREST]],"")</f>
        <v>632.29544496947346</v>
      </c>
      <c r="I191" s="177">
        <f>IF(PaymentSchedule[[#This Row],[PMT NO]]&lt;&gt;"",PaymentSchedule[[#This Row],[BEGINNING BALANCE]]*(InterestRate/PaymentsPerYear),"")</f>
        <v>709.7586125608741</v>
      </c>
      <c r="J19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169709.77156964032</v>
      </c>
      <c r="K191" s="177">
        <f>IF(PaymentSchedule[[#This Row],[PMT NO]]&lt;&gt;"",SUM(INDEX(PaymentSchedule[INTEREST],1,1):PaymentSchedule[[#This Row],[INTEREST]]),"")</f>
        <v>161279.5019251027</v>
      </c>
      <c r="L191" s="178"/>
    </row>
    <row r="192" spans="2:12" x14ac:dyDescent="0.2">
      <c r="B192" s="175">
        <f>IF(LoanIsGood,IF(ROW()-ROW(PaymentSchedule[[#Headers],[PMT NO]])&gt;ScheduledNumberOfPayments,"",ROW()-ROW(PaymentSchedule[[#Headers],[PMT NO]])),"")</f>
        <v>181</v>
      </c>
      <c r="C192" s="176">
        <f>IF(PaymentSchedule[[#This Row],[PMT NO]]&lt;&gt;"",EOMONTH(LoanStartDate,ROW(PaymentSchedule[[#This Row],[PMT NO]])-ROW(PaymentSchedule[[#Headers],[PMT NO]])-2)+DAY(LoanStartDate),"")</f>
        <v>50496</v>
      </c>
      <c r="D192" s="177">
        <f>IF(PaymentSchedule[[#This Row],[PMT NO]]&lt;&gt;"",IF(ROW()-ROW(PaymentSchedule[[#Headers],[BEGINNING BALANCE]])=1,LoanAmount,INDEX(PaymentSchedule[ENDING BALANCE],ROW()-ROW(PaymentSchedule[[#Headers],[BEGINNING BALANCE]])-1)),"")</f>
        <v>169709.77156964032</v>
      </c>
      <c r="E192" s="177">
        <f>IF(PaymentSchedule[[#This Row],[PMT NO]]&lt;&gt;"",ScheduledPayment,"")</f>
        <v>1342.0540575303476</v>
      </c>
      <c r="F19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2" s="177">
        <f>IF(PaymentSchedule[[#This Row],[PMT NO]]&lt;&gt;"",PaymentSchedule[[#This Row],[TOTAL PAYMENT]]-PaymentSchedule[[#This Row],[INTEREST]],"")</f>
        <v>634.93000932351288</v>
      </c>
      <c r="I192" s="177">
        <f>IF(PaymentSchedule[[#This Row],[PMT NO]]&lt;&gt;"",PaymentSchedule[[#This Row],[BEGINNING BALANCE]]*(InterestRate/PaymentsPerYear),"")</f>
        <v>707.12404820683469</v>
      </c>
      <c r="J19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169074.8415603168</v>
      </c>
      <c r="K192" s="177">
        <f>IF(PaymentSchedule[[#This Row],[PMT NO]]&lt;&gt;"",SUM(INDEX(PaymentSchedule[INTEREST],1,1):PaymentSchedule[[#This Row],[INTEREST]]),"")</f>
        <v>161986.62597330954</v>
      </c>
      <c r="L192" s="178"/>
    </row>
    <row r="193" spans="2:12" x14ac:dyDescent="0.2">
      <c r="B193" s="175">
        <f>IF(LoanIsGood,IF(ROW()-ROW(PaymentSchedule[[#Headers],[PMT NO]])&gt;ScheduledNumberOfPayments,"",ROW()-ROW(PaymentSchedule[[#Headers],[PMT NO]])),"")</f>
        <v>182</v>
      </c>
      <c r="C193" s="176">
        <f>IF(PaymentSchedule[[#This Row],[PMT NO]]&lt;&gt;"",EOMONTH(LoanStartDate,ROW(PaymentSchedule[[#This Row],[PMT NO]])-ROW(PaymentSchedule[[#Headers],[PMT NO]])-2)+DAY(LoanStartDate),"")</f>
        <v>50526</v>
      </c>
      <c r="D193" s="177">
        <f>IF(PaymentSchedule[[#This Row],[PMT NO]]&lt;&gt;"",IF(ROW()-ROW(PaymentSchedule[[#Headers],[BEGINNING BALANCE]])=1,LoanAmount,INDEX(PaymentSchedule[ENDING BALANCE],ROW()-ROW(PaymentSchedule[[#Headers],[BEGINNING BALANCE]])-1)),"")</f>
        <v>169074.8415603168</v>
      </c>
      <c r="E193" s="177">
        <f>IF(PaymentSchedule[[#This Row],[PMT NO]]&lt;&gt;"",ScheduledPayment,"")</f>
        <v>1342.0540575303476</v>
      </c>
      <c r="F19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3" s="177">
        <f>IF(PaymentSchedule[[#This Row],[PMT NO]]&lt;&gt;"",PaymentSchedule[[#This Row],[TOTAL PAYMENT]]-PaymentSchedule[[#This Row],[INTEREST]],"")</f>
        <v>637.57555102902757</v>
      </c>
      <c r="I193" s="177">
        <f>IF(PaymentSchedule[[#This Row],[PMT NO]]&lt;&gt;"",PaymentSchedule[[#This Row],[BEGINNING BALANCE]]*(InterestRate/PaymentsPerYear),"")</f>
        <v>704.47850650132</v>
      </c>
      <c r="J19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168437.26600928776</v>
      </c>
      <c r="K193" s="177">
        <f>IF(PaymentSchedule[[#This Row],[PMT NO]]&lt;&gt;"",SUM(INDEX(PaymentSchedule[INTEREST],1,1):PaymentSchedule[[#This Row],[INTEREST]]),"")</f>
        <v>162691.10447981086</v>
      </c>
      <c r="L193" s="178"/>
    </row>
    <row r="194" spans="2:12" x14ac:dyDescent="0.2">
      <c r="B194" s="175">
        <f>IF(LoanIsGood,IF(ROW()-ROW(PaymentSchedule[[#Headers],[PMT NO]])&gt;ScheduledNumberOfPayments,"",ROW()-ROW(PaymentSchedule[[#Headers],[PMT NO]])),"")</f>
        <v>183</v>
      </c>
      <c r="C194" s="176">
        <f>IF(PaymentSchedule[[#This Row],[PMT NO]]&lt;&gt;"",EOMONTH(LoanStartDate,ROW(PaymentSchedule[[#This Row],[PMT NO]])-ROW(PaymentSchedule[[#Headers],[PMT NO]])-2)+DAY(LoanStartDate),"")</f>
        <v>50557</v>
      </c>
      <c r="D194" s="177">
        <f>IF(PaymentSchedule[[#This Row],[PMT NO]]&lt;&gt;"",IF(ROW()-ROW(PaymentSchedule[[#Headers],[BEGINNING BALANCE]])=1,LoanAmount,INDEX(PaymentSchedule[ENDING BALANCE],ROW()-ROW(PaymentSchedule[[#Headers],[BEGINNING BALANCE]])-1)),"")</f>
        <v>168437.26600928776</v>
      </c>
      <c r="E194" s="177">
        <f>IF(PaymentSchedule[[#This Row],[PMT NO]]&lt;&gt;"",ScheduledPayment,"")</f>
        <v>1342.0540575303476</v>
      </c>
      <c r="F19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4" s="177">
        <f>IF(PaymentSchedule[[#This Row],[PMT NO]]&lt;&gt;"",PaymentSchedule[[#This Row],[TOTAL PAYMENT]]-PaymentSchedule[[#This Row],[INTEREST]],"")</f>
        <v>640.23211582498186</v>
      </c>
      <c r="I194" s="177">
        <f>IF(PaymentSchedule[[#This Row],[PMT NO]]&lt;&gt;"",PaymentSchedule[[#This Row],[BEGINNING BALANCE]]*(InterestRate/PaymentsPerYear),"")</f>
        <v>701.8219417053657</v>
      </c>
      <c r="J19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167797.03389346279</v>
      </c>
      <c r="K194" s="177">
        <f>IF(PaymentSchedule[[#This Row],[PMT NO]]&lt;&gt;"",SUM(INDEX(PaymentSchedule[INTEREST],1,1):PaymentSchedule[[#This Row],[INTEREST]]),"")</f>
        <v>163392.92642151623</v>
      </c>
      <c r="L194" s="178"/>
    </row>
    <row r="195" spans="2:12" x14ac:dyDescent="0.2">
      <c r="B195" s="175">
        <f>IF(LoanIsGood,IF(ROW()-ROW(PaymentSchedule[[#Headers],[PMT NO]])&gt;ScheduledNumberOfPayments,"",ROW()-ROW(PaymentSchedule[[#Headers],[PMT NO]])),"")</f>
        <v>184</v>
      </c>
      <c r="C195" s="176">
        <f>IF(PaymentSchedule[[#This Row],[PMT NO]]&lt;&gt;"",EOMONTH(LoanStartDate,ROW(PaymentSchedule[[#This Row],[PMT NO]])-ROW(PaymentSchedule[[#Headers],[PMT NO]])-2)+DAY(LoanStartDate),"")</f>
        <v>50587</v>
      </c>
      <c r="D195" s="177">
        <f>IF(PaymentSchedule[[#This Row],[PMT NO]]&lt;&gt;"",IF(ROW()-ROW(PaymentSchedule[[#Headers],[BEGINNING BALANCE]])=1,LoanAmount,INDEX(PaymentSchedule[ENDING BALANCE],ROW()-ROW(PaymentSchedule[[#Headers],[BEGINNING BALANCE]])-1)),"")</f>
        <v>167797.03389346279</v>
      </c>
      <c r="E195" s="177">
        <f>IF(PaymentSchedule[[#This Row],[PMT NO]]&lt;&gt;"",ScheduledPayment,"")</f>
        <v>1342.0540575303476</v>
      </c>
      <c r="F19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5" s="177">
        <f>IF(PaymentSchedule[[#This Row],[PMT NO]]&lt;&gt;"",PaymentSchedule[[#This Row],[TOTAL PAYMENT]]-PaymentSchedule[[#This Row],[INTEREST]],"")</f>
        <v>642.89974964091925</v>
      </c>
      <c r="I195" s="177">
        <f>IF(PaymentSchedule[[#This Row],[PMT NO]]&lt;&gt;"",PaymentSchedule[[#This Row],[BEGINNING BALANCE]]*(InterestRate/PaymentsPerYear),"")</f>
        <v>699.15430788942831</v>
      </c>
      <c r="J19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167154.13414382187</v>
      </c>
      <c r="K195" s="177">
        <f>IF(PaymentSchedule[[#This Row],[PMT NO]]&lt;&gt;"",SUM(INDEX(PaymentSchedule[INTEREST],1,1):PaymentSchedule[[#This Row],[INTEREST]]),"")</f>
        <v>164092.08072940566</v>
      </c>
      <c r="L195" s="178"/>
    </row>
    <row r="196" spans="2:12" x14ac:dyDescent="0.2">
      <c r="B196" s="175">
        <f>IF(LoanIsGood,IF(ROW()-ROW(PaymentSchedule[[#Headers],[PMT NO]])&gt;ScheduledNumberOfPayments,"",ROW()-ROW(PaymentSchedule[[#Headers],[PMT NO]])),"")</f>
        <v>185</v>
      </c>
      <c r="C196" s="176">
        <f>IF(PaymentSchedule[[#This Row],[PMT NO]]&lt;&gt;"",EOMONTH(LoanStartDate,ROW(PaymentSchedule[[#This Row],[PMT NO]])-ROW(PaymentSchedule[[#Headers],[PMT NO]])-2)+DAY(LoanStartDate),"")</f>
        <v>50618</v>
      </c>
      <c r="D196" s="177">
        <f>IF(PaymentSchedule[[#This Row],[PMT NO]]&lt;&gt;"",IF(ROW()-ROW(PaymentSchedule[[#Headers],[BEGINNING BALANCE]])=1,LoanAmount,INDEX(PaymentSchedule[ENDING BALANCE],ROW()-ROW(PaymentSchedule[[#Headers],[BEGINNING BALANCE]])-1)),"")</f>
        <v>167154.13414382187</v>
      </c>
      <c r="E196" s="177">
        <f>IF(PaymentSchedule[[#This Row],[PMT NO]]&lt;&gt;"",ScheduledPayment,"")</f>
        <v>1342.0540575303476</v>
      </c>
      <c r="F19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6" s="177">
        <f>IF(PaymentSchedule[[#This Row],[PMT NO]]&lt;&gt;"",PaymentSchedule[[#This Row],[TOTAL PAYMENT]]-PaymentSchedule[[#This Row],[INTEREST]],"")</f>
        <v>645.57849859775649</v>
      </c>
      <c r="I196" s="177">
        <f>IF(PaymentSchedule[[#This Row],[PMT NO]]&lt;&gt;"",PaymentSchedule[[#This Row],[BEGINNING BALANCE]]*(InterestRate/PaymentsPerYear),"")</f>
        <v>696.47555893259107</v>
      </c>
      <c r="J19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166508.55564522411</v>
      </c>
      <c r="K196" s="177">
        <f>IF(PaymentSchedule[[#This Row],[PMT NO]]&lt;&gt;"",SUM(INDEX(PaymentSchedule[INTEREST],1,1):PaymentSchedule[[#This Row],[INTEREST]]),"")</f>
        <v>164788.55628833824</v>
      </c>
      <c r="L196" s="178"/>
    </row>
    <row r="197" spans="2:12" x14ac:dyDescent="0.2">
      <c r="B197" s="175">
        <f>IF(LoanIsGood,IF(ROW()-ROW(PaymentSchedule[[#Headers],[PMT NO]])&gt;ScheduledNumberOfPayments,"",ROW()-ROW(PaymentSchedule[[#Headers],[PMT NO]])),"")</f>
        <v>186</v>
      </c>
      <c r="C197" s="176">
        <f>IF(PaymentSchedule[[#This Row],[PMT NO]]&lt;&gt;"",EOMONTH(LoanStartDate,ROW(PaymentSchedule[[#This Row],[PMT NO]])-ROW(PaymentSchedule[[#Headers],[PMT NO]])-2)+DAY(LoanStartDate),"")</f>
        <v>50649</v>
      </c>
      <c r="D197" s="177">
        <f>IF(PaymentSchedule[[#This Row],[PMT NO]]&lt;&gt;"",IF(ROW()-ROW(PaymentSchedule[[#Headers],[BEGINNING BALANCE]])=1,LoanAmount,INDEX(PaymentSchedule[ENDING BALANCE],ROW()-ROW(PaymentSchedule[[#Headers],[BEGINNING BALANCE]])-1)),"")</f>
        <v>166508.55564522411</v>
      </c>
      <c r="E197" s="177">
        <f>IF(PaymentSchedule[[#This Row],[PMT NO]]&lt;&gt;"",ScheduledPayment,"")</f>
        <v>1342.0540575303476</v>
      </c>
      <c r="F19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7" s="177">
        <f>IF(PaymentSchedule[[#This Row],[PMT NO]]&lt;&gt;"",PaymentSchedule[[#This Row],[TOTAL PAYMENT]]-PaymentSchedule[[#This Row],[INTEREST]],"")</f>
        <v>648.26840900858042</v>
      </c>
      <c r="I197" s="177">
        <f>IF(PaymentSchedule[[#This Row],[PMT NO]]&lt;&gt;"",PaymentSchedule[[#This Row],[BEGINNING BALANCE]]*(InterestRate/PaymentsPerYear),"")</f>
        <v>693.78564852176714</v>
      </c>
      <c r="J19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165860.28723621555</v>
      </c>
      <c r="K197" s="177">
        <f>IF(PaymentSchedule[[#This Row],[PMT NO]]&lt;&gt;"",SUM(INDEX(PaymentSchedule[INTEREST],1,1):PaymentSchedule[[#This Row],[INTEREST]]),"")</f>
        <v>165482.34193686</v>
      </c>
      <c r="L197" s="178"/>
    </row>
    <row r="198" spans="2:12" x14ac:dyDescent="0.2">
      <c r="B198" s="175">
        <f>IF(LoanIsGood,IF(ROW()-ROW(PaymentSchedule[[#Headers],[PMT NO]])&gt;ScheduledNumberOfPayments,"",ROW()-ROW(PaymentSchedule[[#Headers],[PMT NO]])),"")</f>
        <v>187</v>
      </c>
      <c r="C198" s="176">
        <f>IF(PaymentSchedule[[#This Row],[PMT NO]]&lt;&gt;"",EOMONTH(LoanStartDate,ROW(PaymentSchedule[[#This Row],[PMT NO]])-ROW(PaymentSchedule[[#Headers],[PMT NO]])-2)+DAY(LoanStartDate),"")</f>
        <v>50679</v>
      </c>
      <c r="D198" s="177">
        <f>IF(PaymentSchedule[[#This Row],[PMT NO]]&lt;&gt;"",IF(ROW()-ROW(PaymentSchedule[[#Headers],[BEGINNING BALANCE]])=1,LoanAmount,INDEX(PaymentSchedule[ENDING BALANCE],ROW()-ROW(PaymentSchedule[[#Headers],[BEGINNING BALANCE]])-1)),"")</f>
        <v>165860.28723621555</v>
      </c>
      <c r="E198" s="177">
        <f>IF(PaymentSchedule[[#This Row],[PMT NO]]&lt;&gt;"",ScheduledPayment,"")</f>
        <v>1342.0540575303476</v>
      </c>
      <c r="F19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8" s="177">
        <f>IF(PaymentSchedule[[#This Row],[PMT NO]]&lt;&gt;"",PaymentSchedule[[#This Row],[TOTAL PAYMENT]]-PaymentSchedule[[#This Row],[INTEREST]],"")</f>
        <v>650.96952737944946</v>
      </c>
      <c r="I198" s="177">
        <f>IF(PaymentSchedule[[#This Row],[PMT NO]]&lt;&gt;"",PaymentSchedule[[#This Row],[BEGINNING BALANCE]]*(InterestRate/PaymentsPerYear),"")</f>
        <v>691.0845301508981</v>
      </c>
      <c r="J19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165209.31770883611</v>
      </c>
      <c r="K198" s="177">
        <f>IF(PaymentSchedule[[#This Row],[PMT NO]]&lt;&gt;"",SUM(INDEX(PaymentSchedule[INTEREST],1,1):PaymentSchedule[[#This Row],[INTEREST]]),"")</f>
        <v>166173.4264670109</v>
      </c>
      <c r="L198" s="178"/>
    </row>
    <row r="199" spans="2:12" x14ac:dyDescent="0.2">
      <c r="B199" s="175">
        <f>IF(LoanIsGood,IF(ROW()-ROW(PaymentSchedule[[#Headers],[PMT NO]])&gt;ScheduledNumberOfPayments,"",ROW()-ROW(PaymentSchedule[[#Headers],[PMT NO]])),"")</f>
        <v>188</v>
      </c>
      <c r="C199" s="176">
        <f>IF(PaymentSchedule[[#This Row],[PMT NO]]&lt;&gt;"",EOMONTH(LoanStartDate,ROW(PaymentSchedule[[#This Row],[PMT NO]])-ROW(PaymentSchedule[[#Headers],[PMT NO]])-2)+DAY(LoanStartDate),"")</f>
        <v>50710</v>
      </c>
      <c r="D199" s="177">
        <f>IF(PaymentSchedule[[#This Row],[PMT NO]]&lt;&gt;"",IF(ROW()-ROW(PaymentSchedule[[#Headers],[BEGINNING BALANCE]])=1,LoanAmount,INDEX(PaymentSchedule[ENDING BALANCE],ROW()-ROW(PaymentSchedule[[#Headers],[BEGINNING BALANCE]])-1)),"")</f>
        <v>165209.31770883611</v>
      </c>
      <c r="E199" s="177">
        <f>IF(PaymentSchedule[[#This Row],[PMT NO]]&lt;&gt;"",ScheduledPayment,"")</f>
        <v>1342.0540575303476</v>
      </c>
      <c r="F19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199" s="177">
        <f>IF(PaymentSchedule[[#This Row],[PMT NO]]&lt;&gt;"",PaymentSchedule[[#This Row],[TOTAL PAYMENT]]-PaymentSchedule[[#This Row],[INTEREST]],"")</f>
        <v>653.68190041019716</v>
      </c>
      <c r="I199" s="177">
        <f>IF(PaymentSchedule[[#This Row],[PMT NO]]&lt;&gt;"",PaymentSchedule[[#This Row],[BEGINNING BALANCE]]*(InterestRate/PaymentsPerYear),"")</f>
        <v>688.3721571201504</v>
      </c>
      <c r="J19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164555.63580842593</v>
      </c>
      <c r="K199" s="177">
        <f>IF(PaymentSchedule[[#This Row],[PMT NO]]&lt;&gt;"",SUM(INDEX(PaymentSchedule[INTEREST],1,1):PaymentSchedule[[#This Row],[INTEREST]]),"")</f>
        <v>166861.79862413104</v>
      </c>
      <c r="L199" s="178"/>
    </row>
    <row r="200" spans="2:12" x14ac:dyDescent="0.2">
      <c r="B200" s="175">
        <f>IF(LoanIsGood,IF(ROW()-ROW(PaymentSchedule[[#Headers],[PMT NO]])&gt;ScheduledNumberOfPayments,"",ROW()-ROW(PaymentSchedule[[#Headers],[PMT NO]])),"")</f>
        <v>189</v>
      </c>
      <c r="C200" s="176">
        <f>IF(PaymentSchedule[[#This Row],[PMT NO]]&lt;&gt;"",EOMONTH(LoanStartDate,ROW(PaymentSchedule[[#This Row],[PMT NO]])-ROW(PaymentSchedule[[#Headers],[PMT NO]])-2)+DAY(LoanStartDate),"")</f>
        <v>50740</v>
      </c>
      <c r="D200" s="177">
        <f>IF(PaymentSchedule[[#This Row],[PMT NO]]&lt;&gt;"",IF(ROW()-ROW(PaymentSchedule[[#Headers],[BEGINNING BALANCE]])=1,LoanAmount,INDEX(PaymentSchedule[ENDING BALANCE],ROW()-ROW(PaymentSchedule[[#Headers],[BEGINNING BALANCE]])-1)),"")</f>
        <v>164555.63580842593</v>
      </c>
      <c r="E200" s="177">
        <f>IF(PaymentSchedule[[#This Row],[PMT NO]]&lt;&gt;"",ScheduledPayment,"")</f>
        <v>1342.0540575303476</v>
      </c>
      <c r="F20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0" s="177">
        <f>IF(PaymentSchedule[[#This Row],[PMT NO]]&lt;&gt;"",PaymentSchedule[[#This Row],[TOTAL PAYMENT]]-PaymentSchedule[[#This Row],[INTEREST]],"")</f>
        <v>656.40557499523959</v>
      </c>
      <c r="I200" s="177">
        <f>IF(PaymentSchedule[[#This Row],[PMT NO]]&lt;&gt;"",PaymentSchedule[[#This Row],[BEGINNING BALANCE]]*(InterestRate/PaymentsPerYear),"")</f>
        <v>685.64848253510797</v>
      </c>
      <c r="J20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163899.23023343069</v>
      </c>
      <c r="K200" s="177">
        <f>IF(PaymentSchedule[[#This Row],[PMT NO]]&lt;&gt;"",SUM(INDEX(PaymentSchedule[INTEREST],1,1):PaymentSchedule[[#This Row],[INTEREST]]),"")</f>
        <v>167547.44710666616</v>
      </c>
      <c r="L200" s="178"/>
    </row>
    <row r="201" spans="2:12" x14ac:dyDescent="0.2">
      <c r="B201" s="175">
        <f>IF(LoanIsGood,IF(ROW()-ROW(PaymentSchedule[[#Headers],[PMT NO]])&gt;ScheduledNumberOfPayments,"",ROW()-ROW(PaymentSchedule[[#Headers],[PMT NO]])),"")</f>
        <v>190</v>
      </c>
      <c r="C201" s="176">
        <f>IF(PaymentSchedule[[#This Row],[PMT NO]]&lt;&gt;"",EOMONTH(LoanStartDate,ROW(PaymentSchedule[[#This Row],[PMT NO]])-ROW(PaymentSchedule[[#Headers],[PMT NO]])-2)+DAY(LoanStartDate),"")</f>
        <v>50771</v>
      </c>
      <c r="D201" s="177">
        <f>IF(PaymentSchedule[[#This Row],[PMT NO]]&lt;&gt;"",IF(ROW()-ROW(PaymentSchedule[[#Headers],[BEGINNING BALANCE]])=1,LoanAmount,INDEX(PaymentSchedule[ENDING BALANCE],ROW()-ROW(PaymentSchedule[[#Headers],[BEGINNING BALANCE]])-1)),"")</f>
        <v>163899.23023343069</v>
      </c>
      <c r="E201" s="177">
        <f>IF(PaymentSchedule[[#This Row],[PMT NO]]&lt;&gt;"",ScheduledPayment,"")</f>
        <v>1342.0540575303476</v>
      </c>
      <c r="F20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1" s="177">
        <f>IF(PaymentSchedule[[#This Row],[PMT NO]]&lt;&gt;"",PaymentSchedule[[#This Row],[TOTAL PAYMENT]]-PaymentSchedule[[#This Row],[INTEREST]],"")</f>
        <v>659.14059822438639</v>
      </c>
      <c r="I201" s="177">
        <f>IF(PaymentSchedule[[#This Row],[PMT NO]]&lt;&gt;"",PaymentSchedule[[#This Row],[BEGINNING BALANCE]]*(InterestRate/PaymentsPerYear),"")</f>
        <v>682.91345930596117</v>
      </c>
      <c r="J20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163240.0896352063</v>
      </c>
      <c r="K201" s="177">
        <f>IF(PaymentSchedule[[#This Row],[PMT NO]]&lt;&gt;"",SUM(INDEX(PaymentSchedule[INTEREST],1,1):PaymentSchedule[[#This Row],[INTEREST]]),"")</f>
        <v>168230.36056597214</v>
      </c>
      <c r="L201" s="178"/>
    </row>
    <row r="202" spans="2:12" x14ac:dyDescent="0.2">
      <c r="B202" s="175">
        <f>IF(LoanIsGood,IF(ROW()-ROW(PaymentSchedule[[#Headers],[PMT NO]])&gt;ScheduledNumberOfPayments,"",ROW()-ROW(PaymentSchedule[[#Headers],[PMT NO]])),"")</f>
        <v>191</v>
      </c>
      <c r="C202" s="176">
        <f>IF(PaymentSchedule[[#This Row],[PMT NO]]&lt;&gt;"",EOMONTH(LoanStartDate,ROW(PaymentSchedule[[#This Row],[PMT NO]])-ROW(PaymentSchedule[[#Headers],[PMT NO]])-2)+DAY(LoanStartDate),"")</f>
        <v>50802</v>
      </c>
      <c r="D202" s="177">
        <f>IF(PaymentSchedule[[#This Row],[PMT NO]]&lt;&gt;"",IF(ROW()-ROW(PaymentSchedule[[#Headers],[BEGINNING BALANCE]])=1,LoanAmount,INDEX(PaymentSchedule[ENDING BALANCE],ROW()-ROW(PaymentSchedule[[#Headers],[BEGINNING BALANCE]])-1)),"")</f>
        <v>163240.0896352063</v>
      </c>
      <c r="E202" s="177">
        <f>IF(PaymentSchedule[[#This Row],[PMT NO]]&lt;&gt;"",ScheduledPayment,"")</f>
        <v>1342.0540575303476</v>
      </c>
      <c r="F20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2" s="177">
        <f>IF(PaymentSchedule[[#This Row],[PMT NO]]&lt;&gt;"",PaymentSchedule[[#This Row],[TOTAL PAYMENT]]-PaymentSchedule[[#This Row],[INTEREST]],"")</f>
        <v>661.88701738365467</v>
      </c>
      <c r="I202" s="177">
        <f>IF(PaymentSchedule[[#This Row],[PMT NO]]&lt;&gt;"",PaymentSchedule[[#This Row],[BEGINNING BALANCE]]*(InterestRate/PaymentsPerYear),"")</f>
        <v>680.1670401466929</v>
      </c>
      <c r="J20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162578.20261782265</v>
      </c>
      <c r="K202" s="177">
        <f>IF(PaymentSchedule[[#This Row],[PMT NO]]&lt;&gt;"",SUM(INDEX(PaymentSchedule[INTEREST],1,1):PaymentSchedule[[#This Row],[INTEREST]]),"")</f>
        <v>168910.52760611882</v>
      </c>
      <c r="L202" s="178"/>
    </row>
    <row r="203" spans="2:12" x14ac:dyDescent="0.2">
      <c r="B203" s="175">
        <f>IF(LoanIsGood,IF(ROW()-ROW(PaymentSchedule[[#Headers],[PMT NO]])&gt;ScheduledNumberOfPayments,"",ROW()-ROW(PaymentSchedule[[#Headers],[PMT NO]])),"")</f>
        <v>192</v>
      </c>
      <c r="C203" s="176">
        <f>IF(PaymentSchedule[[#This Row],[PMT NO]]&lt;&gt;"",EOMONTH(LoanStartDate,ROW(PaymentSchedule[[#This Row],[PMT NO]])-ROW(PaymentSchedule[[#Headers],[PMT NO]])-2)+DAY(LoanStartDate),"")</f>
        <v>50830</v>
      </c>
      <c r="D203" s="177">
        <f>IF(PaymentSchedule[[#This Row],[PMT NO]]&lt;&gt;"",IF(ROW()-ROW(PaymentSchedule[[#Headers],[BEGINNING BALANCE]])=1,LoanAmount,INDEX(PaymentSchedule[ENDING BALANCE],ROW()-ROW(PaymentSchedule[[#Headers],[BEGINNING BALANCE]])-1)),"")</f>
        <v>162578.20261782265</v>
      </c>
      <c r="E203" s="177">
        <f>IF(PaymentSchedule[[#This Row],[PMT NO]]&lt;&gt;"",ScheduledPayment,"")</f>
        <v>1342.0540575303476</v>
      </c>
      <c r="F20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3" s="177">
        <f>IF(PaymentSchedule[[#This Row],[PMT NO]]&lt;&gt;"",PaymentSchedule[[#This Row],[TOTAL PAYMENT]]-PaymentSchedule[[#This Row],[INTEREST]],"")</f>
        <v>664.64487995608647</v>
      </c>
      <c r="I203" s="177">
        <f>IF(PaymentSchedule[[#This Row],[PMT NO]]&lt;&gt;"",PaymentSchedule[[#This Row],[BEGINNING BALANCE]]*(InterestRate/PaymentsPerYear),"")</f>
        <v>677.40917757426109</v>
      </c>
      <c r="J20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161913.55773786656</v>
      </c>
      <c r="K203" s="177">
        <f>IF(PaymentSchedule[[#This Row],[PMT NO]]&lt;&gt;"",SUM(INDEX(PaymentSchedule[INTEREST],1,1):PaymentSchedule[[#This Row],[INTEREST]]),"")</f>
        <v>169587.93678369309</v>
      </c>
      <c r="L203" s="178"/>
    </row>
    <row r="204" spans="2:12" x14ac:dyDescent="0.2">
      <c r="B204" s="175">
        <f>IF(LoanIsGood,IF(ROW()-ROW(PaymentSchedule[[#Headers],[PMT NO]])&gt;ScheduledNumberOfPayments,"",ROW()-ROW(PaymentSchedule[[#Headers],[PMT NO]])),"")</f>
        <v>193</v>
      </c>
      <c r="C204" s="176">
        <f>IF(PaymentSchedule[[#This Row],[PMT NO]]&lt;&gt;"",EOMONTH(LoanStartDate,ROW(PaymentSchedule[[#This Row],[PMT NO]])-ROW(PaymentSchedule[[#Headers],[PMT NO]])-2)+DAY(LoanStartDate),"")</f>
        <v>50861</v>
      </c>
      <c r="D204" s="177">
        <f>IF(PaymentSchedule[[#This Row],[PMT NO]]&lt;&gt;"",IF(ROW()-ROW(PaymentSchedule[[#Headers],[BEGINNING BALANCE]])=1,LoanAmount,INDEX(PaymentSchedule[ENDING BALANCE],ROW()-ROW(PaymentSchedule[[#Headers],[BEGINNING BALANCE]])-1)),"")</f>
        <v>161913.55773786656</v>
      </c>
      <c r="E204" s="177">
        <f>IF(PaymentSchedule[[#This Row],[PMT NO]]&lt;&gt;"",ScheduledPayment,"")</f>
        <v>1342.0540575303476</v>
      </c>
      <c r="F20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4" s="177">
        <f>IF(PaymentSchedule[[#This Row],[PMT NO]]&lt;&gt;"",PaymentSchedule[[#This Row],[TOTAL PAYMENT]]-PaymentSchedule[[#This Row],[INTEREST]],"")</f>
        <v>667.41423362257024</v>
      </c>
      <c r="I204" s="177">
        <f>IF(PaymentSchedule[[#This Row],[PMT NO]]&lt;&gt;"",PaymentSchedule[[#This Row],[BEGINNING BALANCE]]*(InterestRate/PaymentsPerYear),"")</f>
        <v>674.63982390777733</v>
      </c>
      <c r="J20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161246.14350424398</v>
      </c>
      <c r="K204" s="177">
        <f>IF(PaymentSchedule[[#This Row],[PMT NO]]&lt;&gt;"",SUM(INDEX(PaymentSchedule[INTEREST],1,1):PaymentSchedule[[#This Row],[INTEREST]]),"")</f>
        <v>170262.57660760087</v>
      </c>
      <c r="L204" s="178"/>
    </row>
    <row r="205" spans="2:12" x14ac:dyDescent="0.2">
      <c r="B205" s="175">
        <f>IF(LoanIsGood,IF(ROW()-ROW(PaymentSchedule[[#Headers],[PMT NO]])&gt;ScheduledNumberOfPayments,"",ROW()-ROW(PaymentSchedule[[#Headers],[PMT NO]])),"")</f>
        <v>194</v>
      </c>
      <c r="C205" s="176">
        <f>IF(PaymentSchedule[[#This Row],[PMT NO]]&lt;&gt;"",EOMONTH(LoanStartDate,ROW(PaymentSchedule[[#This Row],[PMT NO]])-ROW(PaymentSchedule[[#Headers],[PMT NO]])-2)+DAY(LoanStartDate),"")</f>
        <v>50891</v>
      </c>
      <c r="D205" s="177">
        <f>IF(PaymentSchedule[[#This Row],[PMT NO]]&lt;&gt;"",IF(ROW()-ROW(PaymentSchedule[[#Headers],[BEGINNING BALANCE]])=1,LoanAmount,INDEX(PaymentSchedule[ENDING BALANCE],ROW()-ROW(PaymentSchedule[[#Headers],[BEGINNING BALANCE]])-1)),"")</f>
        <v>161246.14350424398</v>
      </c>
      <c r="E205" s="177">
        <f>IF(PaymentSchedule[[#This Row],[PMT NO]]&lt;&gt;"",ScheduledPayment,"")</f>
        <v>1342.0540575303476</v>
      </c>
      <c r="F20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5" s="177">
        <f>IF(PaymentSchedule[[#This Row],[PMT NO]]&lt;&gt;"",PaymentSchedule[[#This Row],[TOTAL PAYMENT]]-PaymentSchedule[[#This Row],[INTEREST]],"")</f>
        <v>670.1951262626643</v>
      </c>
      <c r="I205" s="177">
        <f>IF(PaymentSchedule[[#This Row],[PMT NO]]&lt;&gt;"",PaymentSchedule[[#This Row],[BEGINNING BALANCE]]*(InterestRate/PaymentsPerYear),"")</f>
        <v>671.85893126768326</v>
      </c>
      <c r="J20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160575.94837798132</v>
      </c>
      <c r="K205" s="177">
        <f>IF(PaymentSchedule[[#This Row],[PMT NO]]&lt;&gt;"",SUM(INDEX(PaymentSchedule[INTEREST],1,1):PaymentSchedule[[#This Row],[INTEREST]]),"")</f>
        <v>170934.43553886857</v>
      </c>
      <c r="L205" s="178"/>
    </row>
    <row r="206" spans="2:12" x14ac:dyDescent="0.2">
      <c r="B206" s="175">
        <f>IF(LoanIsGood,IF(ROW()-ROW(PaymentSchedule[[#Headers],[PMT NO]])&gt;ScheduledNumberOfPayments,"",ROW()-ROW(PaymentSchedule[[#Headers],[PMT NO]])),"")</f>
        <v>195</v>
      </c>
      <c r="C206" s="176">
        <f>IF(PaymentSchedule[[#This Row],[PMT NO]]&lt;&gt;"",EOMONTH(LoanStartDate,ROW(PaymentSchedule[[#This Row],[PMT NO]])-ROW(PaymentSchedule[[#Headers],[PMT NO]])-2)+DAY(LoanStartDate),"")</f>
        <v>50922</v>
      </c>
      <c r="D206" s="177">
        <f>IF(PaymentSchedule[[#This Row],[PMT NO]]&lt;&gt;"",IF(ROW()-ROW(PaymentSchedule[[#Headers],[BEGINNING BALANCE]])=1,LoanAmount,INDEX(PaymentSchedule[ENDING BALANCE],ROW()-ROW(PaymentSchedule[[#Headers],[BEGINNING BALANCE]])-1)),"")</f>
        <v>160575.94837798132</v>
      </c>
      <c r="E206" s="177">
        <f>IF(PaymentSchedule[[#This Row],[PMT NO]]&lt;&gt;"",ScheduledPayment,"")</f>
        <v>1342.0540575303476</v>
      </c>
      <c r="F20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6" s="177">
        <f>IF(PaymentSchedule[[#This Row],[PMT NO]]&lt;&gt;"",PaymentSchedule[[#This Row],[TOTAL PAYMENT]]-PaymentSchedule[[#This Row],[INTEREST]],"")</f>
        <v>672.98760595542547</v>
      </c>
      <c r="I206" s="177">
        <f>IF(PaymentSchedule[[#This Row],[PMT NO]]&lt;&gt;"",PaymentSchedule[[#This Row],[BEGINNING BALANCE]]*(InterestRate/PaymentsPerYear),"")</f>
        <v>669.0664515749221</v>
      </c>
      <c r="J20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159902.96077202589</v>
      </c>
      <c r="K206" s="177">
        <f>IF(PaymentSchedule[[#This Row],[PMT NO]]&lt;&gt;"",SUM(INDEX(PaymentSchedule[INTEREST],1,1):PaymentSchedule[[#This Row],[INTEREST]]),"")</f>
        <v>171603.50199044347</v>
      </c>
      <c r="L206" s="178"/>
    </row>
    <row r="207" spans="2:12" x14ac:dyDescent="0.2">
      <c r="B207" s="175">
        <f>IF(LoanIsGood,IF(ROW()-ROW(PaymentSchedule[[#Headers],[PMT NO]])&gt;ScheduledNumberOfPayments,"",ROW()-ROW(PaymentSchedule[[#Headers],[PMT NO]])),"")</f>
        <v>196</v>
      </c>
      <c r="C207" s="176">
        <f>IF(PaymentSchedule[[#This Row],[PMT NO]]&lt;&gt;"",EOMONTH(LoanStartDate,ROW(PaymentSchedule[[#This Row],[PMT NO]])-ROW(PaymentSchedule[[#Headers],[PMT NO]])-2)+DAY(LoanStartDate),"")</f>
        <v>50952</v>
      </c>
      <c r="D207" s="177">
        <f>IF(PaymentSchedule[[#This Row],[PMT NO]]&lt;&gt;"",IF(ROW()-ROW(PaymentSchedule[[#Headers],[BEGINNING BALANCE]])=1,LoanAmount,INDEX(PaymentSchedule[ENDING BALANCE],ROW()-ROW(PaymentSchedule[[#Headers],[BEGINNING BALANCE]])-1)),"")</f>
        <v>159902.96077202589</v>
      </c>
      <c r="E207" s="177">
        <f>IF(PaymentSchedule[[#This Row],[PMT NO]]&lt;&gt;"",ScheduledPayment,"")</f>
        <v>1342.0540575303476</v>
      </c>
      <c r="F20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7" s="177">
        <f>IF(PaymentSchedule[[#This Row],[PMT NO]]&lt;&gt;"",PaymentSchedule[[#This Row],[TOTAL PAYMENT]]-PaymentSchedule[[#This Row],[INTEREST]],"")</f>
        <v>675.79172098023969</v>
      </c>
      <c r="I207" s="177">
        <f>IF(PaymentSchedule[[#This Row],[PMT NO]]&lt;&gt;"",PaymentSchedule[[#This Row],[BEGINNING BALANCE]]*(InterestRate/PaymentsPerYear),"")</f>
        <v>666.26233655010788</v>
      </c>
      <c r="J20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159227.16905104567</v>
      </c>
      <c r="K207" s="177">
        <f>IF(PaymentSchedule[[#This Row],[PMT NO]]&lt;&gt;"",SUM(INDEX(PaymentSchedule[INTEREST],1,1):PaymentSchedule[[#This Row],[INTEREST]]),"")</f>
        <v>172269.76432699358</v>
      </c>
      <c r="L207" s="178"/>
    </row>
    <row r="208" spans="2:12" x14ac:dyDescent="0.2">
      <c r="B208" s="175">
        <f>IF(LoanIsGood,IF(ROW()-ROW(PaymentSchedule[[#Headers],[PMT NO]])&gt;ScheduledNumberOfPayments,"",ROW()-ROW(PaymentSchedule[[#Headers],[PMT NO]])),"")</f>
        <v>197</v>
      </c>
      <c r="C208" s="176">
        <f>IF(PaymentSchedule[[#This Row],[PMT NO]]&lt;&gt;"",EOMONTH(LoanStartDate,ROW(PaymentSchedule[[#This Row],[PMT NO]])-ROW(PaymentSchedule[[#Headers],[PMT NO]])-2)+DAY(LoanStartDate),"")</f>
        <v>50983</v>
      </c>
      <c r="D208" s="177">
        <f>IF(PaymentSchedule[[#This Row],[PMT NO]]&lt;&gt;"",IF(ROW()-ROW(PaymentSchedule[[#Headers],[BEGINNING BALANCE]])=1,LoanAmount,INDEX(PaymentSchedule[ENDING BALANCE],ROW()-ROW(PaymentSchedule[[#Headers],[BEGINNING BALANCE]])-1)),"")</f>
        <v>159227.16905104567</v>
      </c>
      <c r="E208" s="177">
        <f>IF(PaymentSchedule[[#This Row],[PMT NO]]&lt;&gt;"",ScheduledPayment,"")</f>
        <v>1342.0540575303476</v>
      </c>
      <c r="F20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8" s="177">
        <f>IF(PaymentSchedule[[#This Row],[PMT NO]]&lt;&gt;"",PaymentSchedule[[#This Row],[TOTAL PAYMENT]]-PaymentSchedule[[#This Row],[INTEREST]],"")</f>
        <v>678.60751981765725</v>
      </c>
      <c r="I208" s="177">
        <f>IF(PaymentSchedule[[#This Row],[PMT NO]]&lt;&gt;"",PaymentSchedule[[#This Row],[BEGINNING BALANCE]]*(InterestRate/PaymentsPerYear),"")</f>
        <v>663.44653771269031</v>
      </c>
      <c r="J20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158548.56153122801</v>
      </c>
      <c r="K208" s="177">
        <f>IF(PaymentSchedule[[#This Row],[PMT NO]]&lt;&gt;"",SUM(INDEX(PaymentSchedule[INTEREST],1,1):PaymentSchedule[[#This Row],[INTEREST]]),"")</f>
        <v>172933.21086470626</v>
      </c>
      <c r="L208" s="178"/>
    </row>
    <row r="209" spans="2:12" x14ac:dyDescent="0.2">
      <c r="B209" s="175">
        <f>IF(LoanIsGood,IF(ROW()-ROW(PaymentSchedule[[#Headers],[PMT NO]])&gt;ScheduledNumberOfPayments,"",ROW()-ROW(PaymentSchedule[[#Headers],[PMT NO]])),"")</f>
        <v>198</v>
      </c>
      <c r="C209" s="176">
        <f>IF(PaymentSchedule[[#This Row],[PMT NO]]&lt;&gt;"",EOMONTH(LoanStartDate,ROW(PaymentSchedule[[#This Row],[PMT NO]])-ROW(PaymentSchedule[[#Headers],[PMT NO]])-2)+DAY(LoanStartDate),"")</f>
        <v>51014</v>
      </c>
      <c r="D209" s="177">
        <f>IF(PaymentSchedule[[#This Row],[PMT NO]]&lt;&gt;"",IF(ROW()-ROW(PaymentSchedule[[#Headers],[BEGINNING BALANCE]])=1,LoanAmount,INDEX(PaymentSchedule[ENDING BALANCE],ROW()-ROW(PaymentSchedule[[#Headers],[BEGINNING BALANCE]])-1)),"")</f>
        <v>158548.56153122801</v>
      </c>
      <c r="E209" s="177">
        <f>IF(PaymentSchedule[[#This Row],[PMT NO]]&lt;&gt;"",ScheduledPayment,"")</f>
        <v>1342.0540575303476</v>
      </c>
      <c r="F20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09" s="177">
        <f>IF(PaymentSchedule[[#This Row],[PMT NO]]&lt;&gt;"",PaymentSchedule[[#This Row],[TOTAL PAYMENT]]-PaymentSchedule[[#This Row],[INTEREST]],"")</f>
        <v>681.43505115023083</v>
      </c>
      <c r="I209" s="177">
        <f>IF(PaymentSchedule[[#This Row],[PMT NO]]&lt;&gt;"",PaymentSchedule[[#This Row],[BEGINNING BALANCE]]*(InterestRate/PaymentsPerYear),"")</f>
        <v>660.61900638011673</v>
      </c>
      <c r="J20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157867.12648007777</v>
      </c>
      <c r="K209" s="177">
        <f>IF(PaymentSchedule[[#This Row],[PMT NO]]&lt;&gt;"",SUM(INDEX(PaymentSchedule[INTEREST],1,1):PaymentSchedule[[#This Row],[INTEREST]]),"")</f>
        <v>173593.82987108637</v>
      </c>
      <c r="L209" s="178"/>
    </row>
    <row r="210" spans="2:12" x14ac:dyDescent="0.2">
      <c r="B210" s="175">
        <f>IF(LoanIsGood,IF(ROW()-ROW(PaymentSchedule[[#Headers],[PMT NO]])&gt;ScheduledNumberOfPayments,"",ROW()-ROW(PaymentSchedule[[#Headers],[PMT NO]])),"")</f>
        <v>199</v>
      </c>
      <c r="C210" s="176">
        <f>IF(PaymentSchedule[[#This Row],[PMT NO]]&lt;&gt;"",EOMONTH(LoanStartDate,ROW(PaymentSchedule[[#This Row],[PMT NO]])-ROW(PaymentSchedule[[#Headers],[PMT NO]])-2)+DAY(LoanStartDate),"")</f>
        <v>51044</v>
      </c>
      <c r="D210" s="177">
        <f>IF(PaymentSchedule[[#This Row],[PMT NO]]&lt;&gt;"",IF(ROW()-ROW(PaymentSchedule[[#Headers],[BEGINNING BALANCE]])=1,LoanAmount,INDEX(PaymentSchedule[ENDING BALANCE],ROW()-ROW(PaymentSchedule[[#Headers],[BEGINNING BALANCE]])-1)),"")</f>
        <v>157867.12648007777</v>
      </c>
      <c r="E210" s="177">
        <f>IF(PaymentSchedule[[#This Row],[PMT NO]]&lt;&gt;"",ScheduledPayment,"")</f>
        <v>1342.0540575303476</v>
      </c>
      <c r="F21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0" s="177">
        <f>IF(PaymentSchedule[[#This Row],[PMT NO]]&lt;&gt;"",PaymentSchedule[[#This Row],[TOTAL PAYMENT]]-PaymentSchedule[[#This Row],[INTEREST]],"")</f>
        <v>684.27436386335683</v>
      </c>
      <c r="I210" s="177">
        <f>IF(PaymentSchedule[[#This Row],[PMT NO]]&lt;&gt;"",PaymentSchedule[[#This Row],[BEGINNING BALANCE]]*(InterestRate/PaymentsPerYear),"")</f>
        <v>657.77969366699074</v>
      </c>
      <c r="J21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157182.8521162144</v>
      </c>
      <c r="K210" s="177">
        <f>IF(PaymentSchedule[[#This Row],[PMT NO]]&lt;&gt;"",SUM(INDEX(PaymentSchedule[INTEREST],1,1):PaymentSchedule[[#This Row],[INTEREST]]),"")</f>
        <v>174251.60956475337</v>
      </c>
      <c r="L210" s="178"/>
    </row>
    <row r="211" spans="2:12" x14ac:dyDescent="0.2">
      <c r="B211" s="175">
        <f>IF(LoanIsGood,IF(ROW()-ROW(PaymentSchedule[[#Headers],[PMT NO]])&gt;ScheduledNumberOfPayments,"",ROW()-ROW(PaymentSchedule[[#Headers],[PMT NO]])),"")</f>
        <v>200</v>
      </c>
      <c r="C211" s="176">
        <f>IF(PaymentSchedule[[#This Row],[PMT NO]]&lt;&gt;"",EOMONTH(LoanStartDate,ROW(PaymentSchedule[[#This Row],[PMT NO]])-ROW(PaymentSchedule[[#Headers],[PMT NO]])-2)+DAY(LoanStartDate),"")</f>
        <v>51075</v>
      </c>
      <c r="D211" s="177">
        <f>IF(PaymentSchedule[[#This Row],[PMT NO]]&lt;&gt;"",IF(ROW()-ROW(PaymentSchedule[[#Headers],[BEGINNING BALANCE]])=1,LoanAmount,INDEX(PaymentSchedule[ENDING BALANCE],ROW()-ROW(PaymentSchedule[[#Headers],[BEGINNING BALANCE]])-1)),"")</f>
        <v>157182.8521162144</v>
      </c>
      <c r="E211" s="177">
        <f>IF(PaymentSchedule[[#This Row],[PMT NO]]&lt;&gt;"",ScheduledPayment,"")</f>
        <v>1342.0540575303476</v>
      </c>
      <c r="F21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1" s="177">
        <f>IF(PaymentSchedule[[#This Row],[PMT NO]]&lt;&gt;"",PaymentSchedule[[#This Row],[TOTAL PAYMENT]]-PaymentSchedule[[#This Row],[INTEREST]],"")</f>
        <v>687.1255070461209</v>
      </c>
      <c r="I211" s="177">
        <f>IF(PaymentSchedule[[#This Row],[PMT NO]]&lt;&gt;"",PaymentSchedule[[#This Row],[BEGINNING BALANCE]]*(InterestRate/PaymentsPerYear),"")</f>
        <v>654.92855048422666</v>
      </c>
      <c r="J21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156495.72660916828</v>
      </c>
      <c r="K211" s="177">
        <f>IF(PaymentSchedule[[#This Row],[PMT NO]]&lt;&gt;"",SUM(INDEX(PaymentSchedule[INTEREST],1,1):PaymentSchedule[[#This Row],[INTEREST]]),"")</f>
        <v>174906.53811523761</v>
      </c>
      <c r="L211" s="178"/>
    </row>
    <row r="212" spans="2:12" x14ac:dyDescent="0.2">
      <c r="B212" s="175">
        <f>IF(LoanIsGood,IF(ROW()-ROW(PaymentSchedule[[#Headers],[PMT NO]])&gt;ScheduledNumberOfPayments,"",ROW()-ROW(PaymentSchedule[[#Headers],[PMT NO]])),"")</f>
        <v>201</v>
      </c>
      <c r="C212" s="176">
        <f>IF(PaymentSchedule[[#This Row],[PMT NO]]&lt;&gt;"",EOMONTH(LoanStartDate,ROW(PaymentSchedule[[#This Row],[PMT NO]])-ROW(PaymentSchedule[[#Headers],[PMT NO]])-2)+DAY(LoanStartDate),"")</f>
        <v>51105</v>
      </c>
      <c r="D212" s="177">
        <f>IF(PaymentSchedule[[#This Row],[PMT NO]]&lt;&gt;"",IF(ROW()-ROW(PaymentSchedule[[#Headers],[BEGINNING BALANCE]])=1,LoanAmount,INDEX(PaymentSchedule[ENDING BALANCE],ROW()-ROW(PaymentSchedule[[#Headers],[BEGINNING BALANCE]])-1)),"")</f>
        <v>156495.72660916828</v>
      </c>
      <c r="E212" s="177">
        <f>IF(PaymentSchedule[[#This Row],[PMT NO]]&lt;&gt;"",ScheduledPayment,"")</f>
        <v>1342.0540575303476</v>
      </c>
      <c r="F21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2" s="177">
        <f>IF(PaymentSchedule[[#This Row],[PMT NO]]&lt;&gt;"",PaymentSchedule[[#This Row],[TOTAL PAYMENT]]-PaymentSchedule[[#This Row],[INTEREST]],"")</f>
        <v>689.98852999214637</v>
      </c>
      <c r="I212" s="177">
        <f>IF(PaymentSchedule[[#This Row],[PMT NO]]&lt;&gt;"",PaymentSchedule[[#This Row],[BEGINNING BALANCE]]*(InterestRate/PaymentsPerYear),"")</f>
        <v>652.0655275382012</v>
      </c>
      <c r="J21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155805.73807917614</v>
      </c>
      <c r="K212" s="177">
        <f>IF(PaymentSchedule[[#This Row],[PMT NO]]&lt;&gt;"",SUM(INDEX(PaymentSchedule[INTEREST],1,1):PaymentSchedule[[#This Row],[INTEREST]]),"")</f>
        <v>175558.60364277579</v>
      </c>
      <c r="L212" s="178"/>
    </row>
    <row r="213" spans="2:12" x14ac:dyDescent="0.2">
      <c r="B213" s="175">
        <f>IF(LoanIsGood,IF(ROW()-ROW(PaymentSchedule[[#Headers],[PMT NO]])&gt;ScheduledNumberOfPayments,"",ROW()-ROW(PaymentSchedule[[#Headers],[PMT NO]])),"")</f>
        <v>202</v>
      </c>
      <c r="C213" s="176">
        <f>IF(PaymentSchedule[[#This Row],[PMT NO]]&lt;&gt;"",EOMONTH(LoanStartDate,ROW(PaymentSchedule[[#This Row],[PMT NO]])-ROW(PaymentSchedule[[#Headers],[PMT NO]])-2)+DAY(LoanStartDate),"")</f>
        <v>51136</v>
      </c>
      <c r="D213" s="177">
        <f>IF(PaymentSchedule[[#This Row],[PMT NO]]&lt;&gt;"",IF(ROW()-ROW(PaymentSchedule[[#Headers],[BEGINNING BALANCE]])=1,LoanAmount,INDEX(PaymentSchedule[ENDING BALANCE],ROW()-ROW(PaymentSchedule[[#Headers],[BEGINNING BALANCE]])-1)),"")</f>
        <v>155805.73807917614</v>
      </c>
      <c r="E213" s="177">
        <f>IF(PaymentSchedule[[#This Row],[PMT NO]]&lt;&gt;"",ScheduledPayment,"")</f>
        <v>1342.0540575303476</v>
      </c>
      <c r="F21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3" s="177">
        <f>IF(PaymentSchedule[[#This Row],[PMT NO]]&lt;&gt;"",PaymentSchedule[[#This Row],[TOTAL PAYMENT]]-PaymentSchedule[[#This Row],[INTEREST]],"")</f>
        <v>692.86348220044704</v>
      </c>
      <c r="I213" s="177">
        <f>IF(PaymentSchedule[[#This Row],[PMT NO]]&lt;&gt;"",PaymentSchedule[[#This Row],[BEGINNING BALANCE]]*(InterestRate/PaymentsPerYear),"")</f>
        <v>649.19057532990053</v>
      </c>
      <c r="J21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155112.87459697569</v>
      </c>
      <c r="K213" s="177">
        <f>IF(PaymentSchedule[[#This Row],[PMT NO]]&lt;&gt;"",SUM(INDEX(PaymentSchedule[INTEREST],1,1):PaymentSchedule[[#This Row],[INTEREST]]),"")</f>
        <v>176207.7942181057</v>
      </c>
      <c r="L213" s="178"/>
    </row>
    <row r="214" spans="2:12" x14ac:dyDescent="0.2">
      <c r="B214" s="175">
        <f>IF(LoanIsGood,IF(ROW()-ROW(PaymentSchedule[[#Headers],[PMT NO]])&gt;ScheduledNumberOfPayments,"",ROW()-ROW(PaymentSchedule[[#Headers],[PMT NO]])),"")</f>
        <v>203</v>
      </c>
      <c r="C214" s="176">
        <f>IF(PaymentSchedule[[#This Row],[PMT NO]]&lt;&gt;"",EOMONTH(LoanStartDate,ROW(PaymentSchedule[[#This Row],[PMT NO]])-ROW(PaymentSchedule[[#Headers],[PMT NO]])-2)+DAY(LoanStartDate),"")</f>
        <v>51167</v>
      </c>
      <c r="D214" s="177">
        <f>IF(PaymentSchedule[[#This Row],[PMT NO]]&lt;&gt;"",IF(ROW()-ROW(PaymentSchedule[[#Headers],[BEGINNING BALANCE]])=1,LoanAmount,INDEX(PaymentSchedule[ENDING BALANCE],ROW()-ROW(PaymentSchedule[[#Headers],[BEGINNING BALANCE]])-1)),"")</f>
        <v>155112.87459697569</v>
      </c>
      <c r="E214" s="177">
        <f>IF(PaymentSchedule[[#This Row],[PMT NO]]&lt;&gt;"",ScheduledPayment,"")</f>
        <v>1342.0540575303476</v>
      </c>
      <c r="F21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4" s="177">
        <f>IF(PaymentSchedule[[#This Row],[PMT NO]]&lt;&gt;"",PaymentSchedule[[#This Row],[TOTAL PAYMENT]]-PaymentSchedule[[#This Row],[INTEREST]],"")</f>
        <v>695.75041337628227</v>
      </c>
      <c r="I214" s="177">
        <f>IF(PaymentSchedule[[#This Row],[PMT NO]]&lt;&gt;"",PaymentSchedule[[#This Row],[BEGINNING BALANCE]]*(InterestRate/PaymentsPerYear),"")</f>
        <v>646.3036441540653</v>
      </c>
      <c r="J21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154417.1241835994</v>
      </c>
      <c r="K214" s="177">
        <f>IF(PaymentSchedule[[#This Row],[PMT NO]]&lt;&gt;"",SUM(INDEX(PaymentSchedule[INTEREST],1,1):PaymentSchedule[[#This Row],[INTEREST]]),"")</f>
        <v>176854.09786225978</v>
      </c>
      <c r="L214" s="178"/>
    </row>
    <row r="215" spans="2:12" x14ac:dyDescent="0.2">
      <c r="B215" s="175">
        <f>IF(LoanIsGood,IF(ROW()-ROW(PaymentSchedule[[#Headers],[PMT NO]])&gt;ScheduledNumberOfPayments,"",ROW()-ROW(PaymentSchedule[[#Headers],[PMT NO]])),"")</f>
        <v>204</v>
      </c>
      <c r="C215" s="176">
        <f>IF(PaymentSchedule[[#This Row],[PMT NO]]&lt;&gt;"",EOMONTH(LoanStartDate,ROW(PaymentSchedule[[#This Row],[PMT NO]])-ROW(PaymentSchedule[[#Headers],[PMT NO]])-2)+DAY(LoanStartDate),"")</f>
        <v>51196</v>
      </c>
      <c r="D215" s="177">
        <f>IF(PaymentSchedule[[#This Row],[PMT NO]]&lt;&gt;"",IF(ROW()-ROW(PaymentSchedule[[#Headers],[BEGINNING BALANCE]])=1,LoanAmount,INDEX(PaymentSchedule[ENDING BALANCE],ROW()-ROW(PaymentSchedule[[#Headers],[BEGINNING BALANCE]])-1)),"")</f>
        <v>154417.1241835994</v>
      </c>
      <c r="E215" s="177">
        <f>IF(PaymentSchedule[[#This Row],[PMT NO]]&lt;&gt;"",ScheduledPayment,"")</f>
        <v>1342.0540575303476</v>
      </c>
      <c r="F21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5" s="177">
        <f>IF(PaymentSchedule[[#This Row],[PMT NO]]&lt;&gt;"",PaymentSchedule[[#This Row],[TOTAL PAYMENT]]-PaymentSchedule[[#This Row],[INTEREST]],"")</f>
        <v>698.64937343201677</v>
      </c>
      <c r="I215" s="177">
        <f>IF(PaymentSchedule[[#This Row],[PMT NO]]&lt;&gt;"",PaymentSchedule[[#This Row],[BEGINNING BALANCE]]*(InterestRate/PaymentsPerYear),"")</f>
        <v>643.40468409833079</v>
      </c>
      <c r="J21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153718.47481016739</v>
      </c>
      <c r="K215" s="177">
        <f>IF(PaymentSchedule[[#This Row],[PMT NO]]&lt;&gt;"",SUM(INDEX(PaymentSchedule[INTEREST],1,1):PaymentSchedule[[#This Row],[INTEREST]]),"")</f>
        <v>177497.5025463581</v>
      </c>
      <c r="L215" s="178"/>
    </row>
    <row r="216" spans="2:12" x14ac:dyDescent="0.2">
      <c r="B216" s="175">
        <f>IF(LoanIsGood,IF(ROW()-ROW(PaymentSchedule[[#Headers],[PMT NO]])&gt;ScheduledNumberOfPayments,"",ROW()-ROW(PaymentSchedule[[#Headers],[PMT NO]])),"")</f>
        <v>205</v>
      </c>
      <c r="C216" s="176">
        <f>IF(PaymentSchedule[[#This Row],[PMT NO]]&lt;&gt;"",EOMONTH(LoanStartDate,ROW(PaymentSchedule[[#This Row],[PMT NO]])-ROW(PaymentSchedule[[#Headers],[PMT NO]])-2)+DAY(LoanStartDate),"")</f>
        <v>51227</v>
      </c>
      <c r="D216" s="177">
        <f>IF(PaymentSchedule[[#This Row],[PMT NO]]&lt;&gt;"",IF(ROW()-ROW(PaymentSchedule[[#Headers],[BEGINNING BALANCE]])=1,LoanAmount,INDEX(PaymentSchedule[ENDING BALANCE],ROW()-ROW(PaymentSchedule[[#Headers],[BEGINNING BALANCE]])-1)),"")</f>
        <v>153718.47481016739</v>
      </c>
      <c r="E216" s="177">
        <f>IF(PaymentSchedule[[#This Row],[PMT NO]]&lt;&gt;"",ScheduledPayment,"")</f>
        <v>1342.0540575303476</v>
      </c>
      <c r="F21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6" s="177">
        <f>IF(PaymentSchedule[[#This Row],[PMT NO]]&lt;&gt;"",PaymentSchedule[[#This Row],[TOTAL PAYMENT]]-PaymentSchedule[[#This Row],[INTEREST]],"")</f>
        <v>701.5604124879834</v>
      </c>
      <c r="I216" s="177">
        <f>IF(PaymentSchedule[[#This Row],[PMT NO]]&lt;&gt;"",PaymentSchedule[[#This Row],[BEGINNING BALANCE]]*(InterestRate/PaymentsPerYear),"")</f>
        <v>640.49364504236416</v>
      </c>
      <c r="J21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153016.91439767941</v>
      </c>
      <c r="K216" s="177">
        <f>IF(PaymentSchedule[[#This Row],[PMT NO]]&lt;&gt;"",SUM(INDEX(PaymentSchedule[INTEREST],1,1):PaymentSchedule[[#This Row],[INTEREST]]),"")</f>
        <v>178137.99619140045</v>
      </c>
      <c r="L216" s="178"/>
    </row>
    <row r="217" spans="2:12" x14ac:dyDescent="0.2">
      <c r="B217" s="175">
        <f>IF(LoanIsGood,IF(ROW()-ROW(PaymentSchedule[[#Headers],[PMT NO]])&gt;ScheduledNumberOfPayments,"",ROW()-ROW(PaymentSchedule[[#Headers],[PMT NO]])),"")</f>
        <v>206</v>
      </c>
      <c r="C217" s="176">
        <f>IF(PaymentSchedule[[#This Row],[PMT NO]]&lt;&gt;"",EOMONTH(LoanStartDate,ROW(PaymentSchedule[[#This Row],[PMT NO]])-ROW(PaymentSchedule[[#Headers],[PMT NO]])-2)+DAY(LoanStartDate),"")</f>
        <v>51257</v>
      </c>
      <c r="D217" s="177">
        <f>IF(PaymentSchedule[[#This Row],[PMT NO]]&lt;&gt;"",IF(ROW()-ROW(PaymentSchedule[[#Headers],[BEGINNING BALANCE]])=1,LoanAmount,INDEX(PaymentSchedule[ENDING BALANCE],ROW()-ROW(PaymentSchedule[[#Headers],[BEGINNING BALANCE]])-1)),"")</f>
        <v>153016.91439767941</v>
      </c>
      <c r="E217" s="177">
        <f>IF(PaymentSchedule[[#This Row],[PMT NO]]&lt;&gt;"",ScheduledPayment,"")</f>
        <v>1342.0540575303476</v>
      </c>
      <c r="F21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7" s="177">
        <f>IF(PaymentSchedule[[#This Row],[PMT NO]]&lt;&gt;"",PaymentSchedule[[#This Row],[TOTAL PAYMENT]]-PaymentSchedule[[#This Row],[INTEREST]],"")</f>
        <v>704.48358087334998</v>
      </c>
      <c r="I217" s="177">
        <f>IF(PaymentSchedule[[#This Row],[PMT NO]]&lt;&gt;"",PaymentSchedule[[#This Row],[BEGINNING BALANCE]]*(InterestRate/PaymentsPerYear),"")</f>
        <v>637.57047665699758</v>
      </c>
      <c r="J21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152312.43081680607</v>
      </c>
      <c r="K217" s="177">
        <f>IF(PaymentSchedule[[#This Row],[PMT NO]]&lt;&gt;"",SUM(INDEX(PaymentSchedule[INTEREST],1,1):PaymentSchedule[[#This Row],[INTEREST]]),"")</f>
        <v>178775.56666805744</v>
      </c>
      <c r="L217" s="178"/>
    </row>
    <row r="218" spans="2:12" x14ac:dyDescent="0.2">
      <c r="B218" s="175">
        <f>IF(LoanIsGood,IF(ROW()-ROW(PaymentSchedule[[#Headers],[PMT NO]])&gt;ScheduledNumberOfPayments,"",ROW()-ROW(PaymentSchedule[[#Headers],[PMT NO]])),"")</f>
        <v>207</v>
      </c>
      <c r="C218" s="176">
        <f>IF(PaymentSchedule[[#This Row],[PMT NO]]&lt;&gt;"",EOMONTH(LoanStartDate,ROW(PaymentSchedule[[#This Row],[PMT NO]])-ROW(PaymentSchedule[[#Headers],[PMT NO]])-2)+DAY(LoanStartDate),"")</f>
        <v>51288</v>
      </c>
      <c r="D218" s="177">
        <f>IF(PaymentSchedule[[#This Row],[PMT NO]]&lt;&gt;"",IF(ROW()-ROW(PaymentSchedule[[#Headers],[BEGINNING BALANCE]])=1,LoanAmount,INDEX(PaymentSchedule[ENDING BALANCE],ROW()-ROW(PaymentSchedule[[#Headers],[BEGINNING BALANCE]])-1)),"")</f>
        <v>152312.43081680607</v>
      </c>
      <c r="E218" s="177">
        <f>IF(PaymentSchedule[[#This Row],[PMT NO]]&lt;&gt;"",ScheduledPayment,"")</f>
        <v>1342.0540575303476</v>
      </c>
      <c r="F21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8" s="177">
        <f>IF(PaymentSchedule[[#This Row],[PMT NO]]&lt;&gt;"",PaymentSchedule[[#This Row],[TOTAL PAYMENT]]-PaymentSchedule[[#This Row],[INTEREST]],"")</f>
        <v>707.41892912698893</v>
      </c>
      <c r="I218" s="177">
        <f>IF(PaymentSchedule[[#This Row],[PMT NO]]&lt;&gt;"",PaymentSchedule[[#This Row],[BEGINNING BALANCE]]*(InterestRate/PaymentsPerYear),"")</f>
        <v>634.63512840335864</v>
      </c>
      <c r="J21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151605.01188767908</v>
      </c>
      <c r="K218" s="177">
        <f>IF(PaymentSchedule[[#This Row],[PMT NO]]&lt;&gt;"",SUM(INDEX(PaymentSchedule[INTEREST],1,1):PaymentSchedule[[#This Row],[INTEREST]]),"")</f>
        <v>179410.20179646078</v>
      </c>
      <c r="L218" s="178"/>
    </row>
    <row r="219" spans="2:12" x14ac:dyDescent="0.2">
      <c r="B219" s="175">
        <f>IF(LoanIsGood,IF(ROW()-ROW(PaymentSchedule[[#Headers],[PMT NO]])&gt;ScheduledNumberOfPayments,"",ROW()-ROW(PaymentSchedule[[#Headers],[PMT NO]])),"")</f>
        <v>208</v>
      </c>
      <c r="C219" s="176">
        <f>IF(PaymentSchedule[[#This Row],[PMT NO]]&lt;&gt;"",EOMONTH(LoanStartDate,ROW(PaymentSchedule[[#This Row],[PMT NO]])-ROW(PaymentSchedule[[#Headers],[PMT NO]])-2)+DAY(LoanStartDate),"")</f>
        <v>51318</v>
      </c>
      <c r="D219" s="177">
        <f>IF(PaymentSchedule[[#This Row],[PMT NO]]&lt;&gt;"",IF(ROW()-ROW(PaymentSchedule[[#Headers],[BEGINNING BALANCE]])=1,LoanAmount,INDEX(PaymentSchedule[ENDING BALANCE],ROW()-ROW(PaymentSchedule[[#Headers],[BEGINNING BALANCE]])-1)),"")</f>
        <v>151605.01188767908</v>
      </c>
      <c r="E219" s="177">
        <f>IF(PaymentSchedule[[#This Row],[PMT NO]]&lt;&gt;"",ScheduledPayment,"")</f>
        <v>1342.0540575303476</v>
      </c>
      <c r="F21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19" s="177">
        <f>IF(PaymentSchedule[[#This Row],[PMT NO]]&lt;&gt;"",PaymentSchedule[[#This Row],[TOTAL PAYMENT]]-PaymentSchedule[[#This Row],[INTEREST]],"")</f>
        <v>710.36650799835138</v>
      </c>
      <c r="I219" s="177">
        <f>IF(PaymentSchedule[[#This Row],[PMT NO]]&lt;&gt;"",PaymentSchedule[[#This Row],[BEGINNING BALANCE]]*(InterestRate/PaymentsPerYear),"")</f>
        <v>631.68754953199618</v>
      </c>
      <c r="J21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150894.64537968073</v>
      </c>
      <c r="K219" s="177">
        <f>IF(PaymentSchedule[[#This Row],[PMT NO]]&lt;&gt;"",SUM(INDEX(PaymentSchedule[INTEREST],1,1):PaymentSchedule[[#This Row],[INTEREST]]),"")</f>
        <v>180041.88934599276</v>
      </c>
      <c r="L219" s="178"/>
    </row>
    <row r="220" spans="2:12" x14ac:dyDescent="0.2">
      <c r="B220" s="175">
        <f>IF(LoanIsGood,IF(ROW()-ROW(PaymentSchedule[[#Headers],[PMT NO]])&gt;ScheduledNumberOfPayments,"",ROW()-ROW(PaymentSchedule[[#Headers],[PMT NO]])),"")</f>
        <v>209</v>
      </c>
      <c r="C220" s="176">
        <f>IF(PaymentSchedule[[#This Row],[PMT NO]]&lt;&gt;"",EOMONTH(LoanStartDate,ROW(PaymentSchedule[[#This Row],[PMT NO]])-ROW(PaymentSchedule[[#Headers],[PMT NO]])-2)+DAY(LoanStartDate),"")</f>
        <v>51349</v>
      </c>
      <c r="D220" s="177">
        <f>IF(PaymentSchedule[[#This Row],[PMT NO]]&lt;&gt;"",IF(ROW()-ROW(PaymentSchedule[[#Headers],[BEGINNING BALANCE]])=1,LoanAmount,INDEX(PaymentSchedule[ENDING BALANCE],ROW()-ROW(PaymentSchedule[[#Headers],[BEGINNING BALANCE]])-1)),"")</f>
        <v>150894.64537968073</v>
      </c>
      <c r="E220" s="177">
        <f>IF(PaymentSchedule[[#This Row],[PMT NO]]&lt;&gt;"",ScheduledPayment,"")</f>
        <v>1342.0540575303476</v>
      </c>
      <c r="F22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0" s="177">
        <f>IF(PaymentSchedule[[#This Row],[PMT NO]]&lt;&gt;"",PaymentSchedule[[#This Row],[TOTAL PAYMENT]]-PaymentSchedule[[#This Row],[INTEREST]],"")</f>
        <v>713.32636844834451</v>
      </c>
      <c r="I220" s="177">
        <f>IF(PaymentSchedule[[#This Row],[PMT NO]]&lt;&gt;"",PaymentSchedule[[#This Row],[BEGINNING BALANCE]]*(InterestRate/PaymentsPerYear),"")</f>
        <v>628.72768908200305</v>
      </c>
      <c r="J22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150181.31901123238</v>
      </c>
      <c r="K220" s="177">
        <f>IF(PaymentSchedule[[#This Row],[PMT NO]]&lt;&gt;"",SUM(INDEX(PaymentSchedule[INTEREST],1,1):PaymentSchedule[[#This Row],[INTEREST]]),"")</f>
        <v>180670.61703507477</v>
      </c>
      <c r="L220" s="178"/>
    </row>
    <row r="221" spans="2:12" x14ac:dyDescent="0.2">
      <c r="B221" s="175">
        <f>IF(LoanIsGood,IF(ROW()-ROW(PaymentSchedule[[#Headers],[PMT NO]])&gt;ScheduledNumberOfPayments,"",ROW()-ROW(PaymentSchedule[[#Headers],[PMT NO]])),"")</f>
        <v>210</v>
      </c>
      <c r="C221" s="176">
        <f>IF(PaymentSchedule[[#This Row],[PMT NO]]&lt;&gt;"",EOMONTH(LoanStartDate,ROW(PaymentSchedule[[#This Row],[PMT NO]])-ROW(PaymentSchedule[[#Headers],[PMT NO]])-2)+DAY(LoanStartDate),"")</f>
        <v>51380</v>
      </c>
      <c r="D221" s="177">
        <f>IF(PaymentSchedule[[#This Row],[PMT NO]]&lt;&gt;"",IF(ROW()-ROW(PaymentSchedule[[#Headers],[BEGINNING BALANCE]])=1,LoanAmount,INDEX(PaymentSchedule[ENDING BALANCE],ROW()-ROW(PaymentSchedule[[#Headers],[BEGINNING BALANCE]])-1)),"")</f>
        <v>150181.31901123238</v>
      </c>
      <c r="E221" s="177">
        <f>IF(PaymentSchedule[[#This Row],[PMT NO]]&lt;&gt;"",ScheduledPayment,"")</f>
        <v>1342.0540575303476</v>
      </c>
      <c r="F22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1" s="177">
        <f>IF(PaymentSchedule[[#This Row],[PMT NO]]&lt;&gt;"",PaymentSchedule[[#This Row],[TOTAL PAYMENT]]-PaymentSchedule[[#This Row],[INTEREST]],"")</f>
        <v>716.2985616502126</v>
      </c>
      <c r="I221" s="177">
        <f>IF(PaymentSchedule[[#This Row],[PMT NO]]&lt;&gt;"",PaymentSchedule[[#This Row],[BEGINNING BALANCE]]*(InterestRate/PaymentsPerYear),"")</f>
        <v>625.75549588013496</v>
      </c>
      <c r="J22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149465.02044958217</v>
      </c>
      <c r="K221" s="177">
        <f>IF(PaymentSchedule[[#This Row],[PMT NO]]&lt;&gt;"",SUM(INDEX(PaymentSchedule[INTEREST],1,1):PaymentSchedule[[#This Row],[INTEREST]]),"")</f>
        <v>181296.37253095492</v>
      </c>
      <c r="L221" s="178"/>
    </row>
    <row r="222" spans="2:12" x14ac:dyDescent="0.2">
      <c r="B222" s="175">
        <f>IF(LoanIsGood,IF(ROW()-ROW(PaymentSchedule[[#Headers],[PMT NO]])&gt;ScheduledNumberOfPayments,"",ROW()-ROW(PaymentSchedule[[#Headers],[PMT NO]])),"")</f>
        <v>211</v>
      </c>
      <c r="C222" s="176">
        <f>IF(PaymentSchedule[[#This Row],[PMT NO]]&lt;&gt;"",EOMONTH(LoanStartDate,ROW(PaymentSchedule[[#This Row],[PMT NO]])-ROW(PaymentSchedule[[#Headers],[PMT NO]])-2)+DAY(LoanStartDate),"")</f>
        <v>51410</v>
      </c>
      <c r="D222" s="177">
        <f>IF(PaymentSchedule[[#This Row],[PMT NO]]&lt;&gt;"",IF(ROW()-ROW(PaymentSchedule[[#Headers],[BEGINNING BALANCE]])=1,LoanAmount,INDEX(PaymentSchedule[ENDING BALANCE],ROW()-ROW(PaymentSchedule[[#Headers],[BEGINNING BALANCE]])-1)),"")</f>
        <v>149465.02044958217</v>
      </c>
      <c r="E222" s="177">
        <f>IF(PaymentSchedule[[#This Row],[PMT NO]]&lt;&gt;"",ScheduledPayment,"")</f>
        <v>1342.0540575303476</v>
      </c>
      <c r="F22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2" s="177">
        <f>IF(PaymentSchedule[[#This Row],[PMT NO]]&lt;&gt;"",PaymentSchedule[[#This Row],[TOTAL PAYMENT]]-PaymentSchedule[[#This Row],[INTEREST]],"")</f>
        <v>719.28313899042189</v>
      </c>
      <c r="I222" s="177">
        <f>IF(PaymentSchedule[[#This Row],[PMT NO]]&lt;&gt;"",PaymentSchedule[[#This Row],[BEGINNING BALANCE]]*(InterestRate/PaymentsPerYear),"")</f>
        <v>622.77091853992567</v>
      </c>
      <c r="J22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148745.73731059174</v>
      </c>
      <c r="K222" s="177">
        <f>IF(PaymentSchedule[[#This Row],[PMT NO]]&lt;&gt;"",SUM(INDEX(PaymentSchedule[INTEREST],1,1):PaymentSchedule[[#This Row],[INTEREST]]),"")</f>
        <v>181919.14344949485</v>
      </c>
      <c r="L222" s="178"/>
    </row>
    <row r="223" spans="2:12" x14ac:dyDescent="0.2">
      <c r="B223" s="175">
        <f>IF(LoanIsGood,IF(ROW()-ROW(PaymentSchedule[[#Headers],[PMT NO]])&gt;ScheduledNumberOfPayments,"",ROW()-ROW(PaymentSchedule[[#Headers],[PMT NO]])),"")</f>
        <v>212</v>
      </c>
      <c r="C223" s="176">
        <f>IF(PaymentSchedule[[#This Row],[PMT NO]]&lt;&gt;"",EOMONTH(LoanStartDate,ROW(PaymentSchedule[[#This Row],[PMT NO]])-ROW(PaymentSchedule[[#Headers],[PMT NO]])-2)+DAY(LoanStartDate),"")</f>
        <v>51441</v>
      </c>
      <c r="D223" s="177">
        <f>IF(PaymentSchedule[[#This Row],[PMT NO]]&lt;&gt;"",IF(ROW()-ROW(PaymentSchedule[[#Headers],[BEGINNING BALANCE]])=1,LoanAmount,INDEX(PaymentSchedule[ENDING BALANCE],ROW()-ROW(PaymentSchedule[[#Headers],[BEGINNING BALANCE]])-1)),"")</f>
        <v>148745.73731059174</v>
      </c>
      <c r="E223" s="177">
        <f>IF(PaymentSchedule[[#This Row],[PMT NO]]&lt;&gt;"",ScheduledPayment,"")</f>
        <v>1342.0540575303476</v>
      </c>
      <c r="F22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3" s="177">
        <f>IF(PaymentSchedule[[#This Row],[PMT NO]]&lt;&gt;"",PaymentSchedule[[#This Row],[TOTAL PAYMENT]]-PaymentSchedule[[#This Row],[INTEREST]],"")</f>
        <v>722.28015206954865</v>
      </c>
      <c r="I223" s="177">
        <f>IF(PaymentSchedule[[#This Row],[PMT NO]]&lt;&gt;"",PaymentSchedule[[#This Row],[BEGINNING BALANCE]]*(InterestRate/PaymentsPerYear),"")</f>
        <v>619.77390546079891</v>
      </c>
      <c r="J22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148023.45715852219</v>
      </c>
      <c r="K223" s="177">
        <f>IF(PaymentSchedule[[#This Row],[PMT NO]]&lt;&gt;"",SUM(INDEX(PaymentSchedule[INTEREST],1,1):PaymentSchedule[[#This Row],[INTEREST]]),"")</f>
        <v>182538.91735495566</v>
      </c>
      <c r="L223" s="178"/>
    </row>
    <row r="224" spans="2:12" x14ac:dyDescent="0.2">
      <c r="B224" s="175">
        <f>IF(LoanIsGood,IF(ROW()-ROW(PaymentSchedule[[#Headers],[PMT NO]])&gt;ScheduledNumberOfPayments,"",ROW()-ROW(PaymentSchedule[[#Headers],[PMT NO]])),"")</f>
        <v>213</v>
      </c>
      <c r="C224" s="176">
        <f>IF(PaymentSchedule[[#This Row],[PMT NO]]&lt;&gt;"",EOMONTH(LoanStartDate,ROW(PaymentSchedule[[#This Row],[PMT NO]])-ROW(PaymentSchedule[[#Headers],[PMT NO]])-2)+DAY(LoanStartDate),"")</f>
        <v>51471</v>
      </c>
      <c r="D224" s="177">
        <f>IF(PaymentSchedule[[#This Row],[PMT NO]]&lt;&gt;"",IF(ROW()-ROW(PaymentSchedule[[#Headers],[BEGINNING BALANCE]])=1,LoanAmount,INDEX(PaymentSchedule[ENDING BALANCE],ROW()-ROW(PaymentSchedule[[#Headers],[BEGINNING BALANCE]])-1)),"")</f>
        <v>148023.45715852219</v>
      </c>
      <c r="E224" s="177">
        <f>IF(PaymentSchedule[[#This Row],[PMT NO]]&lt;&gt;"",ScheduledPayment,"")</f>
        <v>1342.0540575303476</v>
      </c>
      <c r="F22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4" s="177">
        <f>IF(PaymentSchedule[[#This Row],[PMT NO]]&lt;&gt;"",PaymentSchedule[[#This Row],[TOTAL PAYMENT]]-PaymentSchedule[[#This Row],[INTEREST]],"")</f>
        <v>725.28965270317178</v>
      </c>
      <c r="I224" s="177">
        <f>IF(PaymentSchedule[[#This Row],[PMT NO]]&lt;&gt;"",PaymentSchedule[[#This Row],[BEGINNING BALANCE]]*(InterestRate/PaymentsPerYear),"")</f>
        <v>616.76440482717578</v>
      </c>
      <c r="J22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147298.167505819</v>
      </c>
      <c r="K224" s="177">
        <f>IF(PaymentSchedule[[#This Row],[PMT NO]]&lt;&gt;"",SUM(INDEX(PaymentSchedule[INTEREST],1,1):PaymentSchedule[[#This Row],[INTEREST]]),"")</f>
        <v>183155.68175978283</v>
      </c>
      <c r="L224" s="178"/>
    </row>
    <row r="225" spans="2:12" x14ac:dyDescent="0.2">
      <c r="B225" s="175">
        <f>IF(LoanIsGood,IF(ROW()-ROW(PaymentSchedule[[#Headers],[PMT NO]])&gt;ScheduledNumberOfPayments,"",ROW()-ROW(PaymentSchedule[[#Headers],[PMT NO]])),"")</f>
        <v>214</v>
      </c>
      <c r="C225" s="176">
        <f>IF(PaymentSchedule[[#This Row],[PMT NO]]&lt;&gt;"",EOMONTH(LoanStartDate,ROW(PaymentSchedule[[#This Row],[PMT NO]])-ROW(PaymentSchedule[[#Headers],[PMT NO]])-2)+DAY(LoanStartDate),"")</f>
        <v>51502</v>
      </c>
      <c r="D225" s="177">
        <f>IF(PaymentSchedule[[#This Row],[PMT NO]]&lt;&gt;"",IF(ROW()-ROW(PaymentSchedule[[#Headers],[BEGINNING BALANCE]])=1,LoanAmount,INDEX(PaymentSchedule[ENDING BALANCE],ROW()-ROW(PaymentSchedule[[#Headers],[BEGINNING BALANCE]])-1)),"")</f>
        <v>147298.167505819</v>
      </c>
      <c r="E225" s="177">
        <f>IF(PaymentSchedule[[#This Row],[PMT NO]]&lt;&gt;"",ScheduledPayment,"")</f>
        <v>1342.0540575303476</v>
      </c>
      <c r="F22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5" s="177">
        <f>IF(PaymentSchedule[[#This Row],[PMT NO]]&lt;&gt;"",PaymentSchedule[[#This Row],[TOTAL PAYMENT]]-PaymentSchedule[[#This Row],[INTEREST]],"")</f>
        <v>728.31169292276843</v>
      </c>
      <c r="I225" s="177">
        <f>IF(PaymentSchedule[[#This Row],[PMT NO]]&lt;&gt;"",PaymentSchedule[[#This Row],[BEGINNING BALANCE]]*(InterestRate/PaymentsPerYear),"")</f>
        <v>613.74236460757913</v>
      </c>
      <c r="J22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146569.85581289625</v>
      </c>
      <c r="K225" s="177">
        <f>IF(PaymentSchedule[[#This Row],[PMT NO]]&lt;&gt;"",SUM(INDEX(PaymentSchedule[INTEREST],1,1):PaymentSchedule[[#This Row],[INTEREST]]),"")</f>
        <v>183769.42412439041</v>
      </c>
      <c r="L225" s="178"/>
    </row>
    <row r="226" spans="2:12" x14ac:dyDescent="0.2">
      <c r="B226" s="175">
        <f>IF(LoanIsGood,IF(ROW()-ROW(PaymentSchedule[[#Headers],[PMT NO]])&gt;ScheduledNumberOfPayments,"",ROW()-ROW(PaymentSchedule[[#Headers],[PMT NO]])),"")</f>
        <v>215</v>
      </c>
      <c r="C226" s="176">
        <f>IF(PaymentSchedule[[#This Row],[PMT NO]]&lt;&gt;"",EOMONTH(LoanStartDate,ROW(PaymentSchedule[[#This Row],[PMT NO]])-ROW(PaymentSchedule[[#Headers],[PMT NO]])-2)+DAY(LoanStartDate),"")</f>
        <v>51533</v>
      </c>
      <c r="D226" s="177">
        <f>IF(PaymentSchedule[[#This Row],[PMT NO]]&lt;&gt;"",IF(ROW()-ROW(PaymentSchedule[[#Headers],[BEGINNING BALANCE]])=1,LoanAmount,INDEX(PaymentSchedule[ENDING BALANCE],ROW()-ROW(PaymentSchedule[[#Headers],[BEGINNING BALANCE]])-1)),"")</f>
        <v>146569.85581289625</v>
      </c>
      <c r="E226" s="177">
        <f>IF(PaymentSchedule[[#This Row],[PMT NO]]&lt;&gt;"",ScheduledPayment,"")</f>
        <v>1342.0540575303476</v>
      </c>
      <c r="F22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6" s="177">
        <f>IF(PaymentSchedule[[#This Row],[PMT NO]]&lt;&gt;"",PaymentSchedule[[#This Row],[TOTAL PAYMENT]]-PaymentSchedule[[#This Row],[INTEREST]],"")</f>
        <v>731.34632497661323</v>
      </c>
      <c r="I226" s="177">
        <f>IF(PaymentSchedule[[#This Row],[PMT NO]]&lt;&gt;"",PaymentSchedule[[#This Row],[BEGINNING BALANCE]]*(InterestRate/PaymentsPerYear),"")</f>
        <v>610.70773255373433</v>
      </c>
      <c r="J22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145838.50948791963</v>
      </c>
      <c r="K226" s="177">
        <f>IF(PaymentSchedule[[#This Row],[PMT NO]]&lt;&gt;"",SUM(INDEX(PaymentSchedule[INTEREST],1,1):PaymentSchedule[[#This Row],[INTEREST]]),"")</f>
        <v>184380.13185694415</v>
      </c>
      <c r="L226" s="178"/>
    </row>
    <row r="227" spans="2:12" x14ac:dyDescent="0.2">
      <c r="B227" s="175">
        <f>IF(LoanIsGood,IF(ROW()-ROW(PaymentSchedule[[#Headers],[PMT NO]])&gt;ScheduledNumberOfPayments,"",ROW()-ROW(PaymentSchedule[[#Headers],[PMT NO]])),"")</f>
        <v>216</v>
      </c>
      <c r="C227" s="176">
        <f>IF(PaymentSchedule[[#This Row],[PMT NO]]&lt;&gt;"",EOMONTH(LoanStartDate,ROW(PaymentSchedule[[#This Row],[PMT NO]])-ROW(PaymentSchedule[[#Headers],[PMT NO]])-2)+DAY(LoanStartDate),"")</f>
        <v>51561</v>
      </c>
      <c r="D227" s="177">
        <f>IF(PaymentSchedule[[#This Row],[PMT NO]]&lt;&gt;"",IF(ROW()-ROW(PaymentSchedule[[#Headers],[BEGINNING BALANCE]])=1,LoanAmount,INDEX(PaymentSchedule[ENDING BALANCE],ROW()-ROW(PaymentSchedule[[#Headers],[BEGINNING BALANCE]])-1)),"")</f>
        <v>145838.50948791963</v>
      </c>
      <c r="E227" s="177">
        <f>IF(PaymentSchedule[[#This Row],[PMT NO]]&lt;&gt;"",ScheduledPayment,"")</f>
        <v>1342.0540575303476</v>
      </c>
      <c r="F22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7" s="177">
        <f>IF(PaymentSchedule[[#This Row],[PMT NO]]&lt;&gt;"",PaymentSchedule[[#This Row],[TOTAL PAYMENT]]-PaymentSchedule[[#This Row],[INTEREST]],"")</f>
        <v>734.39360133068249</v>
      </c>
      <c r="I227" s="177">
        <f>IF(PaymentSchedule[[#This Row],[PMT NO]]&lt;&gt;"",PaymentSchedule[[#This Row],[BEGINNING BALANCE]]*(InterestRate/PaymentsPerYear),"")</f>
        <v>607.66045619966508</v>
      </c>
      <c r="J22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145104.11588658893</v>
      </c>
      <c r="K227" s="177">
        <f>IF(PaymentSchedule[[#This Row],[PMT NO]]&lt;&gt;"",SUM(INDEX(PaymentSchedule[INTEREST],1,1):PaymentSchedule[[#This Row],[INTEREST]]),"")</f>
        <v>184987.79231314381</v>
      </c>
      <c r="L227" s="178"/>
    </row>
    <row r="228" spans="2:12" x14ac:dyDescent="0.2">
      <c r="B228" s="175">
        <f>IF(LoanIsGood,IF(ROW()-ROW(PaymentSchedule[[#Headers],[PMT NO]])&gt;ScheduledNumberOfPayments,"",ROW()-ROW(PaymentSchedule[[#Headers],[PMT NO]])),"")</f>
        <v>217</v>
      </c>
      <c r="C228" s="176">
        <f>IF(PaymentSchedule[[#This Row],[PMT NO]]&lt;&gt;"",EOMONTH(LoanStartDate,ROW(PaymentSchedule[[#This Row],[PMT NO]])-ROW(PaymentSchedule[[#Headers],[PMT NO]])-2)+DAY(LoanStartDate),"")</f>
        <v>51592</v>
      </c>
      <c r="D228" s="177">
        <f>IF(PaymentSchedule[[#This Row],[PMT NO]]&lt;&gt;"",IF(ROW()-ROW(PaymentSchedule[[#Headers],[BEGINNING BALANCE]])=1,LoanAmount,INDEX(PaymentSchedule[ENDING BALANCE],ROW()-ROW(PaymentSchedule[[#Headers],[BEGINNING BALANCE]])-1)),"")</f>
        <v>145104.11588658893</v>
      </c>
      <c r="E228" s="177">
        <f>IF(PaymentSchedule[[#This Row],[PMT NO]]&lt;&gt;"",ScheduledPayment,"")</f>
        <v>1342.0540575303476</v>
      </c>
      <c r="F22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8" s="177">
        <f>IF(PaymentSchedule[[#This Row],[PMT NO]]&lt;&gt;"",PaymentSchedule[[#This Row],[TOTAL PAYMENT]]-PaymentSchedule[[#This Row],[INTEREST]],"")</f>
        <v>737.45357466956034</v>
      </c>
      <c r="I228" s="177">
        <f>IF(PaymentSchedule[[#This Row],[PMT NO]]&lt;&gt;"",PaymentSchedule[[#This Row],[BEGINNING BALANCE]]*(InterestRate/PaymentsPerYear),"")</f>
        <v>604.60048286078722</v>
      </c>
      <c r="J22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144366.66231191938</v>
      </c>
      <c r="K228" s="177">
        <f>IF(PaymentSchedule[[#This Row],[PMT NO]]&lt;&gt;"",SUM(INDEX(PaymentSchedule[INTEREST],1,1):PaymentSchedule[[#This Row],[INTEREST]]),"")</f>
        <v>185592.3927960046</v>
      </c>
      <c r="L228" s="178"/>
    </row>
    <row r="229" spans="2:12" x14ac:dyDescent="0.2">
      <c r="B229" s="175">
        <f>IF(LoanIsGood,IF(ROW()-ROW(PaymentSchedule[[#Headers],[PMT NO]])&gt;ScheduledNumberOfPayments,"",ROW()-ROW(PaymentSchedule[[#Headers],[PMT NO]])),"")</f>
        <v>218</v>
      </c>
      <c r="C229" s="176">
        <f>IF(PaymentSchedule[[#This Row],[PMT NO]]&lt;&gt;"",EOMONTH(LoanStartDate,ROW(PaymentSchedule[[#This Row],[PMT NO]])-ROW(PaymentSchedule[[#Headers],[PMT NO]])-2)+DAY(LoanStartDate),"")</f>
        <v>51622</v>
      </c>
      <c r="D229" s="177">
        <f>IF(PaymentSchedule[[#This Row],[PMT NO]]&lt;&gt;"",IF(ROW()-ROW(PaymentSchedule[[#Headers],[BEGINNING BALANCE]])=1,LoanAmount,INDEX(PaymentSchedule[ENDING BALANCE],ROW()-ROW(PaymentSchedule[[#Headers],[BEGINNING BALANCE]])-1)),"")</f>
        <v>144366.66231191938</v>
      </c>
      <c r="E229" s="177">
        <f>IF(PaymentSchedule[[#This Row],[PMT NO]]&lt;&gt;"",ScheduledPayment,"")</f>
        <v>1342.0540575303476</v>
      </c>
      <c r="F22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29" s="177">
        <f>IF(PaymentSchedule[[#This Row],[PMT NO]]&lt;&gt;"",PaymentSchedule[[#This Row],[TOTAL PAYMENT]]-PaymentSchedule[[#This Row],[INTEREST]],"")</f>
        <v>740.5262978973501</v>
      </c>
      <c r="I229" s="177">
        <f>IF(PaymentSchedule[[#This Row],[PMT NO]]&lt;&gt;"",PaymentSchedule[[#This Row],[BEGINNING BALANCE]]*(InterestRate/PaymentsPerYear),"")</f>
        <v>601.52775963299746</v>
      </c>
      <c r="J22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143626.13601402202</v>
      </c>
      <c r="K229" s="177">
        <f>IF(PaymentSchedule[[#This Row],[PMT NO]]&lt;&gt;"",SUM(INDEX(PaymentSchedule[INTEREST],1,1):PaymentSchedule[[#This Row],[INTEREST]]),"")</f>
        <v>186193.9205556376</v>
      </c>
      <c r="L229" s="178"/>
    </row>
    <row r="230" spans="2:12" x14ac:dyDescent="0.2">
      <c r="B230" s="175">
        <f>IF(LoanIsGood,IF(ROW()-ROW(PaymentSchedule[[#Headers],[PMT NO]])&gt;ScheduledNumberOfPayments,"",ROW()-ROW(PaymentSchedule[[#Headers],[PMT NO]])),"")</f>
        <v>219</v>
      </c>
      <c r="C230" s="176">
        <f>IF(PaymentSchedule[[#This Row],[PMT NO]]&lt;&gt;"",EOMONTH(LoanStartDate,ROW(PaymentSchedule[[#This Row],[PMT NO]])-ROW(PaymentSchedule[[#Headers],[PMT NO]])-2)+DAY(LoanStartDate),"")</f>
        <v>51653</v>
      </c>
      <c r="D230" s="177">
        <f>IF(PaymentSchedule[[#This Row],[PMT NO]]&lt;&gt;"",IF(ROW()-ROW(PaymentSchedule[[#Headers],[BEGINNING BALANCE]])=1,LoanAmount,INDEX(PaymentSchedule[ENDING BALANCE],ROW()-ROW(PaymentSchedule[[#Headers],[BEGINNING BALANCE]])-1)),"")</f>
        <v>143626.13601402202</v>
      </c>
      <c r="E230" s="177">
        <f>IF(PaymentSchedule[[#This Row],[PMT NO]]&lt;&gt;"",ScheduledPayment,"")</f>
        <v>1342.0540575303476</v>
      </c>
      <c r="F23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0" s="177">
        <f>IF(PaymentSchedule[[#This Row],[PMT NO]]&lt;&gt;"",PaymentSchedule[[#This Row],[TOTAL PAYMENT]]-PaymentSchedule[[#This Row],[INTEREST]],"")</f>
        <v>743.6118241385891</v>
      </c>
      <c r="I230" s="177">
        <f>IF(PaymentSchedule[[#This Row],[PMT NO]]&lt;&gt;"",PaymentSchedule[[#This Row],[BEGINNING BALANCE]]*(InterestRate/PaymentsPerYear),"")</f>
        <v>598.44223339175846</v>
      </c>
      <c r="J23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142882.52418988344</v>
      </c>
      <c r="K230" s="177">
        <f>IF(PaymentSchedule[[#This Row],[PMT NO]]&lt;&gt;"",SUM(INDEX(PaymentSchedule[INTEREST],1,1):PaymentSchedule[[#This Row],[INTEREST]]),"")</f>
        <v>186792.36278902934</v>
      </c>
      <c r="L230" s="178"/>
    </row>
    <row r="231" spans="2:12" x14ac:dyDescent="0.2">
      <c r="B231" s="175">
        <f>IF(LoanIsGood,IF(ROW()-ROW(PaymentSchedule[[#Headers],[PMT NO]])&gt;ScheduledNumberOfPayments,"",ROW()-ROW(PaymentSchedule[[#Headers],[PMT NO]])),"")</f>
        <v>220</v>
      </c>
      <c r="C231" s="176">
        <f>IF(PaymentSchedule[[#This Row],[PMT NO]]&lt;&gt;"",EOMONTH(LoanStartDate,ROW(PaymentSchedule[[#This Row],[PMT NO]])-ROW(PaymentSchedule[[#Headers],[PMT NO]])-2)+DAY(LoanStartDate),"")</f>
        <v>51683</v>
      </c>
      <c r="D231" s="177">
        <f>IF(PaymentSchedule[[#This Row],[PMT NO]]&lt;&gt;"",IF(ROW()-ROW(PaymentSchedule[[#Headers],[BEGINNING BALANCE]])=1,LoanAmount,INDEX(PaymentSchedule[ENDING BALANCE],ROW()-ROW(PaymentSchedule[[#Headers],[BEGINNING BALANCE]])-1)),"")</f>
        <v>142882.52418988344</v>
      </c>
      <c r="E231" s="177">
        <f>IF(PaymentSchedule[[#This Row],[PMT NO]]&lt;&gt;"",ScheduledPayment,"")</f>
        <v>1342.0540575303476</v>
      </c>
      <c r="F23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1" s="177">
        <f>IF(PaymentSchedule[[#This Row],[PMT NO]]&lt;&gt;"",PaymentSchedule[[#This Row],[TOTAL PAYMENT]]-PaymentSchedule[[#This Row],[INTEREST]],"")</f>
        <v>746.71020673916655</v>
      </c>
      <c r="I231" s="177">
        <f>IF(PaymentSchedule[[#This Row],[PMT NO]]&lt;&gt;"",PaymentSchedule[[#This Row],[BEGINNING BALANCE]]*(InterestRate/PaymentsPerYear),"")</f>
        <v>595.34385079118101</v>
      </c>
      <c r="J23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142135.81398314427</v>
      </c>
      <c r="K231" s="177">
        <f>IF(PaymentSchedule[[#This Row],[PMT NO]]&lt;&gt;"",SUM(INDEX(PaymentSchedule[INTEREST],1,1):PaymentSchedule[[#This Row],[INTEREST]]),"")</f>
        <v>187387.70663982054</v>
      </c>
      <c r="L231" s="178"/>
    </row>
    <row r="232" spans="2:12" x14ac:dyDescent="0.2">
      <c r="B232" s="175">
        <f>IF(LoanIsGood,IF(ROW()-ROW(PaymentSchedule[[#Headers],[PMT NO]])&gt;ScheduledNumberOfPayments,"",ROW()-ROW(PaymentSchedule[[#Headers],[PMT NO]])),"")</f>
        <v>221</v>
      </c>
      <c r="C232" s="176">
        <f>IF(PaymentSchedule[[#This Row],[PMT NO]]&lt;&gt;"",EOMONTH(LoanStartDate,ROW(PaymentSchedule[[#This Row],[PMT NO]])-ROW(PaymentSchedule[[#Headers],[PMT NO]])-2)+DAY(LoanStartDate),"")</f>
        <v>51714</v>
      </c>
      <c r="D232" s="177">
        <f>IF(PaymentSchedule[[#This Row],[PMT NO]]&lt;&gt;"",IF(ROW()-ROW(PaymentSchedule[[#Headers],[BEGINNING BALANCE]])=1,LoanAmount,INDEX(PaymentSchedule[ENDING BALANCE],ROW()-ROW(PaymentSchedule[[#Headers],[BEGINNING BALANCE]])-1)),"")</f>
        <v>142135.81398314427</v>
      </c>
      <c r="E232" s="177">
        <f>IF(PaymentSchedule[[#This Row],[PMT NO]]&lt;&gt;"",ScheduledPayment,"")</f>
        <v>1342.0540575303476</v>
      </c>
      <c r="F23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2" s="177">
        <f>IF(PaymentSchedule[[#This Row],[PMT NO]]&lt;&gt;"",PaymentSchedule[[#This Row],[TOTAL PAYMENT]]-PaymentSchedule[[#This Row],[INTEREST]],"")</f>
        <v>749.82149926724651</v>
      </c>
      <c r="I232" s="177">
        <f>IF(PaymentSchedule[[#This Row],[PMT NO]]&lt;&gt;"",PaymentSchedule[[#This Row],[BEGINNING BALANCE]]*(InterestRate/PaymentsPerYear),"")</f>
        <v>592.23255826310105</v>
      </c>
      <c r="J23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141385.99248387702</v>
      </c>
      <c r="K232" s="177">
        <f>IF(PaymentSchedule[[#This Row],[PMT NO]]&lt;&gt;"",SUM(INDEX(PaymentSchedule[INTEREST],1,1):PaymentSchedule[[#This Row],[INTEREST]]),"")</f>
        <v>187979.93919808362</v>
      </c>
      <c r="L232" s="178"/>
    </row>
    <row r="233" spans="2:12" x14ac:dyDescent="0.2">
      <c r="B233" s="175">
        <f>IF(LoanIsGood,IF(ROW()-ROW(PaymentSchedule[[#Headers],[PMT NO]])&gt;ScheduledNumberOfPayments,"",ROW()-ROW(PaymentSchedule[[#Headers],[PMT NO]])),"")</f>
        <v>222</v>
      </c>
      <c r="C233" s="176">
        <f>IF(PaymentSchedule[[#This Row],[PMT NO]]&lt;&gt;"",EOMONTH(LoanStartDate,ROW(PaymentSchedule[[#This Row],[PMT NO]])-ROW(PaymentSchedule[[#Headers],[PMT NO]])-2)+DAY(LoanStartDate),"")</f>
        <v>51745</v>
      </c>
      <c r="D233" s="177">
        <f>IF(PaymentSchedule[[#This Row],[PMT NO]]&lt;&gt;"",IF(ROW()-ROW(PaymentSchedule[[#Headers],[BEGINNING BALANCE]])=1,LoanAmount,INDEX(PaymentSchedule[ENDING BALANCE],ROW()-ROW(PaymentSchedule[[#Headers],[BEGINNING BALANCE]])-1)),"")</f>
        <v>141385.99248387702</v>
      </c>
      <c r="E233" s="177">
        <f>IF(PaymentSchedule[[#This Row],[PMT NO]]&lt;&gt;"",ScheduledPayment,"")</f>
        <v>1342.0540575303476</v>
      </c>
      <c r="F23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3" s="177">
        <f>IF(PaymentSchedule[[#This Row],[PMT NO]]&lt;&gt;"",PaymentSchedule[[#This Row],[TOTAL PAYMENT]]-PaymentSchedule[[#This Row],[INTEREST]],"")</f>
        <v>752.94575551419325</v>
      </c>
      <c r="I233" s="177">
        <f>IF(PaymentSchedule[[#This Row],[PMT NO]]&lt;&gt;"",PaymentSchedule[[#This Row],[BEGINNING BALANCE]]*(InterestRate/PaymentsPerYear),"")</f>
        <v>589.10830201615431</v>
      </c>
      <c r="J23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140633.04672836282</v>
      </c>
      <c r="K233" s="177">
        <f>IF(PaymentSchedule[[#This Row],[PMT NO]]&lt;&gt;"",SUM(INDEX(PaymentSchedule[INTEREST],1,1):PaymentSchedule[[#This Row],[INTEREST]]),"")</f>
        <v>188569.04750009978</v>
      </c>
      <c r="L233" s="178"/>
    </row>
    <row r="234" spans="2:12" x14ac:dyDescent="0.2">
      <c r="B234" s="175">
        <f>IF(LoanIsGood,IF(ROW()-ROW(PaymentSchedule[[#Headers],[PMT NO]])&gt;ScheduledNumberOfPayments,"",ROW()-ROW(PaymentSchedule[[#Headers],[PMT NO]])),"")</f>
        <v>223</v>
      </c>
      <c r="C234" s="176">
        <f>IF(PaymentSchedule[[#This Row],[PMT NO]]&lt;&gt;"",EOMONTH(LoanStartDate,ROW(PaymentSchedule[[#This Row],[PMT NO]])-ROW(PaymentSchedule[[#Headers],[PMT NO]])-2)+DAY(LoanStartDate),"")</f>
        <v>51775</v>
      </c>
      <c r="D234" s="177">
        <f>IF(PaymentSchedule[[#This Row],[PMT NO]]&lt;&gt;"",IF(ROW()-ROW(PaymentSchedule[[#Headers],[BEGINNING BALANCE]])=1,LoanAmount,INDEX(PaymentSchedule[ENDING BALANCE],ROW()-ROW(PaymentSchedule[[#Headers],[BEGINNING BALANCE]])-1)),"")</f>
        <v>140633.04672836282</v>
      </c>
      <c r="E234" s="177">
        <f>IF(PaymentSchedule[[#This Row],[PMT NO]]&lt;&gt;"",ScheduledPayment,"")</f>
        <v>1342.0540575303476</v>
      </c>
      <c r="F23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4" s="177">
        <f>IF(PaymentSchedule[[#This Row],[PMT NO]]&lt;&gt;"",PaymentSchedule[[#This Row],[TOTAL PAYMENT]]-PaymentSchedule[[#This Row],[INTEREST]],"")</f>
        <v>756.0830294955025</v>
      </c>
      <c r="I234" s="177">
        <f>IF(PaymentSchedule[[#This Row],[PMT NO]]&lt;&gt;"",PaymentSchedule[[#This Row],[BEGINNING BALANCE]]*(InterestRate/PaymentsPerYear),"")</f>
        <v>585.97102803484506</v>
      </c>
      <c r="J23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139876.96369886733</v>
      </c>
      <c r="K234" s="177">
        <f>IF(PaymentSchedule[[#This Row],[PMT NO]]&lt;&gt;"",SUM(INDEX(PaymentSchedule[INTEREST],1,1):PaymentSchedule[[#This Row],[INTEREST]]),"")</f>
        <v>189155.01852813462</v>
      </c>
      <c r="L234" s="178"/>
    </row>
    <row r="235" spans="2:12" x14ac:dyDescent="0.2">
      <c r="B235" s="175">
        <f>IF(LoanIsGood,IF(ROW()-ROW(PaymentSchedule[[#Headers],[PMT NO]])&gt;ScheduledNumberOfPayments,"",ROW()-ROW(PaymentSchedule[[#Headers],[PMT NO]])),"")</f>
        <v>224</v>
      </c>
      <c r="C235" s="176">
        <f>IF(PaymentSchedule[[#This Row],[PMT NO]]&lt;&gt;"",EOMONTH(LoanStartDate,ROW(PaymentSchedule[[#This Row],[PMT NO]])-ROW(PaymentSchedule[[#Headers],[PMT NO]])-2)+DAY(LoanStartDate),"")</f>
        <v>51806</v>
      </c>
      <c r="D235" s="177">
        <f>IF(PaymentSchedule[[#This Row],[PMT NO]]&lt;&gt;"",IF(ROW()-ROW(PaymentSchedule[[#Headers],[BEGINNING BALANCE]])=1,LoanAmount,INDEX(PaymentSchedule[ENDING BALANCE],ROW()-ROW(PaymentSchedule[[#Headers],[BEGINNING BALANCE]])-1)),"")</f>
        <v>139876.96369886733</v>
      </c>
      <c r="E235" s="177">
        <f>IF(PaymentSchedule[[#This Row],[PMT NO]]&lt;&gt;"",ScheduledPayment,"")</f>
        <v>1342.0540575303476</v>
      </c>
      <c r="F23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5" s="177">
        <f>IF(PaymentSchedule[[#This Row],[PMT NO]]&lt;&gt;"",PaymentSchedule[[#This Row],[TOTAL PAYMENT]]-PaymentSchedule[[#This Row],[INTEREST]],"")</f>
        <v>759.23337545173365</v>
      </c>
      <c r="I235" s="177">
        <f>IF(PaymentSchedule[[#This Row],[PMT NO]]&lt;&gt;"",PaymentSchedule[[#This Row],[BEGINNING BALANCE]]*(InterestRate/PaymentsPerYear),"")</f>
        <v>582.82068207861391</v>
      </c>
      <c r="J23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139117.7303234156</v>
      </c>
      <c r="K235" s="177">
        <f>IF(PaymentSchedule[[#This Row],[PMT NO]]&lt;&gt;"",SUM(INDEX(PaymentSchedule[INTEREST],1,1):PaymentSchedule[[#This Row],[INTEREST]]),"")</f>
        <v>189737.83921021322</v>
      </c>
      <c r="L235" s="178"/>
    </row>
    <row r="236" spans="2:12" x14ac:dyDescent="0.2">
      <c r="B236" s="175">
        <f>IF(LoanIsGood,IF(ROW()-ROW(PaymentSchedule[[#Headers],[PMT NO]])&gt;ScheduledNumberOfPayments,"",ROW()-ROW(PaymentSchedule[[#Headers],[PMT NO]])),"")</f>
        <v>225</v>
      </c>
      <c r="C236" s="176">
        <f>IF(PaymentSchedule[[#This Row],[PMT NO]]&lt;&gt;"",EOMONTH(LoanStartDate,ROW(PaymentSchedule[[#This Row],[PMT NO]])-ROW(PaymentSchedule[[#Headers],[PMT NO]])-2)+DAY(LoanStartDate),"")</f>
        <v>51836</v>
      </c>
      <c r="D236" s="177">
        <f>IF(PaymentSchedule[[#This Row],[PMT NO]]&lt;&gt;"",IF(ROW()-ROW(PaymentSchedule[[#Headers],[BEGINNING BALANCE]])=1,LoanAmount,INDEX(PaymentSchedule[ENDING BALANCE],ROW()-ROW(PaymentSchedule[[#Headers],[BEGINNING BALANCE]])-1)),"")</f>
        <v>139117.7303234156</v>
      </c>
      <c r="E236" s="177">
        <f>IF(PaymentSchedule[[#This Row],[PMT NO]]&lt;&gt;"",ScheduledPayment,"")</f>
        <v>1342.0540575303476</v>
      </c>
      <c r="F23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6" s="177">
        <f>IF(PaymentSchedule[[#This Row],[PMT NO]]&lt;&gt;"",PaymentSchedule[[#This Row],[TOTAL PAYMENT]]-PaymentSchedule[[#This Row],[INTEREST]],"")</f>
        <v>762.39684784944927</v>
      </c>
      <c r="I236" s="177">
        <f>IF(PaymentSchedule[[#This Row],[PMT NO]]&lt;&gt;"",PaymentSchedule[[#This Row],[BEGINNING BALANCE]]*(InterestRate/PaymentsPerYear),"")</f>
        <v>579.65720968089829</v>
      </c>
      <c r="J23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138355.33347556615</v>
      </c>
      <c r="K236" s="177">
        <f>IF(PaymentSchedule[[#This Row],[PMT NO]]&lt;&gt;"",SUM(INDEX(PaymentSchedule[INTEREST],1,1):PaymentSchedule[[#This Row],[INTEREST]]),"")</f>
        <v>190317.49641989413</v>
      </c>
      <c r="L236" s="178"/>
    </row>
    <row r="237" spans="2:12" x14ac:dyDescent="0.2">
      <c r="B237" s="175">
        <f>IF(LoanIsGood,IF(ROW()-ROW(PaymentSchedule[[#Headers],[PMT NO]])&gt;ScheduledNumberOfPayments,"",ROW()-ROW(PaymentSchedule[[#Headers],[PMT NO]])),"")</f>
        <v>226</v>
      </c>
      <c r="C237" s="176">
        <f>IF(PaymentSchedule[[#This Row],[PMT NO]]&lt;&gt;"",EOMONTH(LoanStartDate,ROW(PaymentSchedule[[#This Row],[PMT NO]])-ROW(PaymentSchedule[[#Headers],[PMT NO]])-2)+DAY(LoanStartDate),"")</f>
        <v>51867</v>
      </c>
      <c r="D237" s="177">
        <f>IF(PaymentSchedule[[#This Row],[PMT NO]]&lt;&gt;"",IF(ROW()-ROW(PaymentSchedule[[#Headers],[BEGINNING BALANCE]])=1,LoanAmount,INDEX(PaymentSchedule[ENDING BALANCE],ROW()-ROW(PaymentSchedule[[#Headers],[BEGINNING BALANCE]])-1)),"")</f>
        <v>138355.33347556615</v>
      </c>
      <c r="E237" s="177">
        <f>IF(PaymentSchedule[[#This Row],[PMT NO]]&lt;&gt;"",ScheduledPayment,"")</f>
        <v>1342.0540575303476</v>
      </c>
      <c r="F23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7" s="177">
        <f>IF(PaymentSchedule[[#This Row],[PMT NO]]&lt;&gt;"",PaymentSchedule[[#This Row],[TOTAL PAYMENT]]-PaymentSchedule[[#This Row],[INTEREST]],"")</f>
        <v>765.57350138215531</v>
      </c>
      <c r="I237" s="177">
        <f>IF(PaymentSchedule[[#This Row],[PMT NO]]&lt;&gt;"",PaymentSchedule[[#This Row],[BEGINNING BALANCE]]*(InterestRate/PaymentsPerYear),"")</f>
        <v>576.48055614819225</v>
      </c>
      <c r="J23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137589.75997418398</v>
      </c>
      <c r="K237" s="177">
        <f>IF(PaymentSchedule[[#This Row],[PMT NO]]&lt;&gt;"",SUM(INDEX(PaymentSchedule[INTEREST],1,1):PaymentSchedule[[#This Row],[INTEREST]]),"")</f>
        <v>190893.97697604232</v>
      </c>
      <c r="L237" s="178"/>
    </row>
    <row r="238" spans="2:12" x14ac:dyDescent="0.2">
      <c r="B238" s="175">
        <f>IF(LoanIsGood,IF(ROW()-ROW(PaymentSchedule[[#Headers],[PMT NO]])&gt;ScheduledNumberOfPayments,"",ROW()-ROW(PaymentSchedule[[#Headers],[PMT NO]])),"")</f>
        <v>227</v>
      </c>
      <c r="C238" s="176">
        <f>IF(PaymentSchedule[[#This Row],[PMT NO]]&lt;&gt;"",EOMONTH(LoanStartDate,ROW(PaymentSchedule[[#This Row],[PMT NO]])-ROW(PaymentSchedule[[#Headers],[PMT NO]])-2)+DAY(LoanStartDate),"")</f>
        <v>51898</v>
      </c>
      <c r="D238" s="177">
        <f>IF(PaymentSchedule[[#This Row],[PMT NO]]&lt;&gt;"",IF(ROW()-ROW(PaymentSchedule[[#Headers],[BEGINNING BALANCE]])=1,LoanAmount,INDEX(PaymentSchedule[ENDING BALANCE],ROW()-ROW(PaymentSchedule[[#Headers],[BEGINNING BALANCE]])-1)),"")</f>
        <v>137589.75997418398</v>
      </c>
      <c r="E238" s="177">
        <f>IF(PaymentSchedule[[#This Row],[PMT NO]]&lt;&gt;"",ScheduledPayment,"")</f>
        <v>1342.0540575303476</v>
      </c>
      <c r="F23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8" s="177">
        <f>IF(PaymentSchedule[[#This Row],[PMT NO]]&lt;&gt;"",PaymentSchedule[[#This Row],[TOTAL PAYMENT]]-PaymentSchedule[[#This Row],[INTEREST]],"")</f>
        <v>768.76339097124765</v>
      </c>
      <c r="I238" s="177">
        <f>IF(PaymentSchedule[[#This Row],[PMT NO]]&lt;&gt;"",PaymentSchedule[[#This Row],[BEGINNING BALANCE]]*(InterestRate/PaymentsPerYear),"")</f>
        <v>573.29066655909992</v>
      </c>
      <c r="J23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136820.99658321272</v>
      </c>
      <c r="K238" s="177">
        <f>IF(PaymentSchedule[[#This Row],[PMT NO]]&lt;&gt;"",SUM(INDEX(PaymentSchedule[INTEREST],1,1):PaymentSchedule[[#This Row],[INTEREST]]),"")</f>
        <v>191467.26764260142</v>
      </c>
      <c r="L238" s="178"/>
    </row>
    <row r="239" spans="2:12" x14ac:dyDescent="0.2">
      <c r="B239" s="175">
        <f>IF(LoanIsGood,IF(ROW()-ROW(PaymentSchedule[[#Headers],[PMT NO]])&gt;ScheduledNumberOfPayments,"",ROW()-ROW(PaymentSchedule[[#Headers],[PMT NO]])),"")</f>
        <v>228</v>
      </c>
      <c r="C239" s="176">
        <f>IF(PaymentSchedule[[#This Row],[PMT NO]]&lt;&gt;"",EOMONTH(LoanStartDate,ROW(PaymentSchedule[[#This Row],[PMT NO]])-ROW(PaymentSchedule[[#Headers],[PMT NO]])-2)+DAY(LoanStartDate),"")</f>
        <v>51926</v>
      </c>
      <c r="D239" s="177">
        <f>IF(PaymentSchedule[[#This Row],[PMT NO]]&lt;&gt;"",IF(ROW()-ROW(PaymentSchedule[[#Headers],[BEGINNING BALANCE]])=1,LoanAmount,INDEX(PaymentSchedule[ENDING BALANCE],ROW()-ROW(PaymentSchedule[[#Headers],[BEGINNING BALANCE]])-1)),"")</f>
        <v>136820.99658321272</v>
      </c>
      <c r="E239" s="177">
        <f>IF(PaymentSchedule[[#This Row],[PMT NO]]&lt;&gt;"",ScheduledPayment,"")</f>
        <v>1342.0540575303476</v>
      </c>
      <c r="F23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39" s="177">
        <f>IF(PaymentSchedule[[#This Row],[PMT NO]]&lt;&gt;"",PaymentSchedule[[#This Row],[TOTAL PAYMENT]]-PaymentSchedule[[#This Row],[INTEREST]],"")</f>
        <v>771.96657176696124</v>
      </c>
      <c r="I239" s="177">
        <f>IF(PaymentSchedule[[#This Row],[PMT NO]]&lt;&gt;"",PaymentSchedule[[#This Row],[BEGINNING BALANCE]]*(InterestRate/PaymentsPerYear),"")</f>
        <v>570.08748576338633</v>
      </c>
      <c r="J23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136049.03001144575</v>
      </c>
      <c r="K239" s="177">
        <f>IF(PaymentSchedule[[#This Row],[PMT NO]]&lt;&gt;"",SUM(INDEX(PaymentSchedule[INTEREST],1,1):PaymentSchedule[[#This Row],[INTEREST]]),"")</f>
        <v>192037.35512836481</v>
      </c>
      <c r="L239" s="178"/>
    </row>
    <row r="240" spans="2:12" x14ac:dyDescent="0.2">
      <c r="B240" s="175">
        <f>IF(LoanIsGood,IF(ROW()-ROW(PaymentSchedule[[#Headers],[PMT NO]])&gt;ScheduledNumberOfPayments,"",ROW()-ROW(PaymentSchedule[[#Headers],[PMT NO]])),"")</f>
        <v>229</v>
      </c>
      <c r="C240" s="176">
        <f>IF(PaymentSchedule[[#This Row],[PMT NO]]&lt;&gt;"",EOMONTH(LoanStartDate,ROW(PaymentSchedule[[#This Row],[PMT NO]])-ROW(PaymentSchedule[[#Headers],[PMT NO]])-2)+DAY(LoanStartDate),"")</f>
        <v>51957</v>
      </c>
      <c r="D240" s="177">
        <f>IF(PaymentSchedule[[#This Row],[PMT NO]]&lt;&gt;"",IF(ROW()-ROW(PaymentSchedule[[#Headers],[BEGINNING BALANCE]])=1,LoanAmount,INDEX(PaymentSchedule[ENDING BALANCE],ROW()-ROW(PaymentSchedule[[#Headers],[BEGINNING BALANCE]])-1)),"")</f>
        <v>136049.03001144575</v>
      </c>
      <c r="E240" s="177">
        <f>IF(PaymentSchedule[[#This Row],[PMT NO]]&lt;&gt;"",ScheduledPayment,"")</f>
        <v>1342.0540575303476</v>
      </c>
      <c r="F24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0" s="177">
        <f>IF(PaymentSchedule[[#This Row],[PMT NO]]&lt;&gt;"",PaymentSchedule[[#This Row],[TOTAL PAYMENT]]-PaymentSchedule[[#This Row],[INTEREST]],"")</f>
        <v>775.18309914932365</v>
      </c>
      <c r="I240" s="177">
        <f>IF(PaymentSchedule[[#This Row],[PMT NO]]&lt;&gt;"",PaymentSchedule[[#This Row],[BEGINNING BALANCE]]*(InterestRate/PaymentsPerYear),"")</f>
        <v>566.87095838102391</v>
      </c>
      <c r="J24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135273.84691229643</v>
      </c>
      <c r="K240" s="177">
        <f>IF(PaymentSchedule[[#This Row],[PMT NO]]&lt;&gt;"",SUM(INDEX(PaymentSchedule[INTEREST],1,1):PaymentSchedule[[#This Row],[INTEREST]]),"")</f>
        <v>192604.22608674582</v>
      </c>
      <c r="L240" s="178"/>
    </row>
    <row r="241" spans="2:12" x14ac:dyDescent="0.2">
      <c r="B241" s="175">
        <f>IF(LoanIsGood,IF(ROW()-ROW(PaymentSchedule[[#Headers],[PMT NO]])&gt;ScheduledNumberOfPayments,"",ROW()-ROW(PaymentSchedule[[#Headers],[PMT NO]])),"")</f>
        <v>230</v>
      </c>
      <c r="C241" s="176">
        <f>IF(PaymentSchedule[[#This Row],[PMT NO]]&lt;&gt;"",EOMONTH(LoanStartDate,ROW(PaymentSchedule[[#This Row],[PMT NO]])-ROW(PaymentSchedule[[#Headers],[PMT NO]])-2)+DAY(LoanStartDate),"")</f>
        <v>51987</v>
      </c>
      <c r="D241" s="177">
        <f>IF(PaymentSchedule[[#This Row],[PMT NO]]&lt;&gt;"",IF(ROW()-ROW(PaymentSchedule[[#Headers],[BEGINNING BALANCE]])=1,LoanAmount,INDEX(PaymentSchedule[ENDING BALANCE],ROW()-ROW(PaymentSchedule[[#Headers],[BEGINNING BALANCE]])-1)),"")</f>
        <v>135273.84691229643</v>
      </c>
      <c r="E241" s="177">
        <f>IF(PaymentSchedule[[#This Row],[PMT NO]]&lt;&gt;"",ScheduledPayment,"")</f>
        <v>1342.0540575303476</v>
      </c>
      <c r="F24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1" s="177">
        <f>IF(PaymentSchedule[[#This Row],[PMT NO]]&lt;&gt;"",PaymentSchedule[[#This Row],[TOTAL PAYMENT]]-PaymentSchedule[[#This Row],[INTEREST]],"")</f>
        <v>778.4130287291124</v>
      </c>
      <c r="I241" s="177">
        <f>IF(PaymentSchedule[[#This Row],[PMT NO]]&lt;&gt;"",PaymentSchedule[[#This Row],[BEGINNING BALANCE]]*(InterestRate/PaymentsPerYear),"")</f>
        <v>563.64102880123517</v>
      </c>
      <c r="J24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134495.43388356731</v>
      </c>
      <c r="K241" s="177">
        <f>IF(PaymentSchedule[[#This Row],[PMT NO]]&lt;&gt;"",SUM(INDEX(PaymentSchedule[INTEREST],1,1):PaymentSchedule[[#This Row],[INTEREST]]),"")</f>
        <v>193167.86711554707</v>
      </c>
      <c r="L241" s="178"/>
    </row>
    <row r="242" spans="2:12" x14ac:dyDescent="0.2">
      <c r="B242" s="175">
        <f>IF(LoanIsGood,IF(ROW()-ROW(PaymentSchedule[[#Headers],[PMT NO]])&gt;ScheduledNumberOfPayments,"",ROW()-ROW(PaymentSchedule[[#Headers],[PMT NO]])),"")</f>
        <v>231</v>
      </c>
      <c r="C242" s="176">
        <f>IF(PaymentSchedule[[#This Row],[PMT NO]]&lt;&gt;"",EOMONTH(LoanStartDate,ROW(PaymentSchedule[[#This Row],[PMT NO]])-ROW(PaymentSchedule[[#Headers],[PMT NO]])-2)+DAY(LoanStartDate),"")</f>
        <v>52018</v>
      </c>
      <c r="D242" s="177">
        <f>IF(PaymentSchedule[[#This Row],[PMT NO]]&lt;&gt;"",IF(ROW()-ROW(PaymentSchedule[[#Headers],[BEGINNING BALANCE]])=1,LoanAmount,INDEX(PaymentSchedule[ENDING BALANCE],ROW()-ROW(PaymentSchedule[[#Headers],[BEGINNING BALANCE]])-1)),"")</f>
        <v>134495.43388356731</v>
      </c>
      <c r="E242" s="177">
        <f>IF(PaymentSchedule[[#This Row],[PMT NO]]&lt;&gt;"",ScheduledPayment,"")</f>
        <v>1342.0540575303476</v>
      </c>
      <c r="F24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2" s="177">
        <f>IF(PaymentSchedule[[#This Row],[PMT NO]]&lt;&gt;"",PaymentSchedule[[#This Row],[TOTAL PAYMENT]]-PaymentSchedule[[#This Row],[INTEREST]],"")</f>
        <v>781.65641634881706</v>
      </c>
      <c r="I242" s="177">
        <f>IF(PaymentSchedule[[#This Row],[PMT NO]]&lt;&gt;"",PaymentSchedule[[#This Row],[BEGINNING BALANCE]]*(InterestRate/PaymentsPerYear),"")</f>
        <v>560.3976411815305</v>
      </c>
      <c r="J24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133713.77746721849</v>
      </c>
      <c r="K242" s="177">
        <f>IF(PaymentSchedule[[#This Row],[PMT NO]]&lt;&gt;"",SUM(INDEX(PaymentSchedule[INTEREST],1,1):PaymentSchedule[[#This Row],[INTEREST]]),"")</f>
        <v>193728.2647567286</v>
      </c>
      <c r="L242" s="178"/>
    </row>
    <row r="243" spans="2:12" x14ac:dyDescent="0.2">
      <c r="B243" s="175">
        <f>IF(LoanIsGood,IF(ROW()-ROW(PaymentSchedule[[#Headers],[PMT NO]])&gt;ScheduledNumberOfPayments,"",ROW()-ROW(PaymentSchedule[[#Headers],[PMT NO]])),"")</f>
        <v>232</v>
      </c>
      <c r="C243" s="176">
        <f>IF(PaymentSchedule[[#This Row],[PMT NO]]&lt;&gt;"",EOMONTH(LoanStartDate,ROW(PaymentSchedule[[#This Row],[PMT NO]])-ROW(PaymentSchedule[[#Headers],[PMT NO]])-2)+DAY(LoanStartDate),"")</f>
        <v>52048</v>
      </c>
      <c r="D243" s="177">
        <f>IF(PaymentSchedule[[#This Row],[PMT NO]]&lt;&gt;"",IF(ROW()-ROW(PaymentSchedule[[#Headers],[BEGINNING BALANCE]])=1,LoanAmount,INDEX(PaymentSchedule[ENDING BALANCE],ROW()-ROW(PaymentSchedule[[#Headers],[BEGINNING BALANCE]])-1)),"")</f>
        <v>133713.77746721849</v>
      </c>
      <c r="E243" s="177">
        <f>IF(PaymentSchedule[[#This Row],[PMT NO]]&lt;&gt;"",ScheduledPayment,"")</f>
        <v>1342.0540575303476</v>
      </c>
      <c r="F24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3" s="177">
        <f>IF(PaymentSchedule[[#This Row],[PMT NO]]&lt;&gt;"",PaymentSchedule[[#This Row],[TOTAL PAYMENT]]-PaymentSchedule[[#This Row],[INTEREST]],"")</f>
        <v>784.91331808360383</v>
      </c>
      <c r="I243" s="177">
        <f>IF(PaymentSchedule[[#This Row],[PMT NO]]&lt;&gt;"",PaymentSchedule[[#This Row],[BEGINNING BALANCE]]*(InterestRate/PaymentsPerYear),"")</f>
        <v>557.14073944674374</v>
      </c>
      <c r="J24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132928.8641491349</v>
      </c>
      <c r="K243" s="177">
        <f>IF(PaymentSchedule[[#This Row],[PMT NO]]&lt;&gt;"",SUM(INDEX(PaymentSchedule[INTEREST],1,1):PaymentSchedule[[#This Row],[INTEREST]]),"")</f>
        <v>194285.40549617534</v>
      </c>
      <c r="L243" s="178"/>
    </row>
    <row r="244" spans="2:12" x14ac:dyDescent="0.2">
      <c r="B244" s="175">
        <f>IF(LoanIsGood,IF(ROW()-ROW(PaymentSchedule[[#Headers],[PMT NO]])&gt;ScheduledNumberOfPayments,"",ROW()-ROW(PaymentSchedule[[#Headers],[PMT NO]])),"")</f>
        <v>233</v>
      </c>
      <c r="C244" s="176">
        <f>IF(PaymentSchedule[[#This Row],[PMT NO]]&lt;&gt;"",EOMONTH(LoanStartDate,ROW(PaymentSchedule[[#This Row],[PMT NO]])-ROW(PaymentSchedule[[#Headers],[PMT NO]])-2)+DAY(LoanStartDate),"")</f>
        <v>52079</v>
      </c>
      <c r="D244" s="177">
        <f>IF(PaymentSchedule[[#This Row],[PMT NO]]&lt;&gt;"",IF(ROW()-ROW(PaymentSchedule[[#Headers],[BEGINNING BALANCE]])=1,LoanAmount,INDEX(PaymentSchedule[ENDING BALANCE],ROW()-ROW(PaymentSchedule[[#Headers],[BEGINNING BALANCE]])-1)),"")</f>
        <v>132928.8641491349</v>
      </c>
      <c r="E244" s="177">
        <f>IF(PaymentSchedule[[#This Row],[PMT NO]]&lt;&gt;"",ScheduledPayment,"")</f>
        <v>1342.0540575303476</v>
      </c>
      <c r="F24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4" s="177">
        <f>IF(PaymentSchedule[[#This Row],[PMT NO]]&lt;&gt;"",PaymentSchedule[[#This Row],[TOTAL PAYMENT]]-PaymentSchedule[[#This Row],[INTEREST]],"")</f>
        <v>788.18379024228545</v>
      </c>
      <c r="I244" s="177">
        <f>IF(PaymentSchedule[[#This Row],[PMT NO]]&lt;&gt;"",PaymentSchedule[[#This Row],[BEGINNING BALANCE]]*(InterestRate/PaymentsPerYear),"")</f>
        <v>553.87026728806211</v>
      </c>
      <c r="J24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132140.6803588926</v>
      </c>
      <c r="K244" s="177">
        <f>IF(PaymentSchedule[[#This Row],[PMT NO]]&lt;&gt;"",SUM(INDEX(PaymentSchedule[INTEREST],1,1):PaymentSchedule[[#This Row],[INTEREST]]),"")</f>
        <v>194839.2757634634</v>
      </c>
      <c r="L244" s="178"/>
    </row>
    <row r="245" spans="2:12" x14ac:dyDescent="0.2">
      <c r="B245" s="175">
        <f>IF(LoanIsGood,IF(ROW()-ROW(PaymentSchedule[[#Headers],[PMT NO]])&gt;ScheduledNumberOfPayments,"",ROW()-ROW(PaymentSchedule[[#Headers],[PMT NO]])),"")</f>
        <v>234</v>
      </c>
      <c r="C245" s="176">
        <f>IF(PaymentSchedule[[#This Row],[PMT NO]]&lt;&gt;"",EOMONTH(LoanStartDate,ROW(PaymentSchedule[[#This Row],[PMT NO]])-ROW(PaymentSchedule[[#Headers],[PMT NO]])-2)+DAY(LoanStartDate),"")</f>
        <v>52110</v>
      </c>
      <c r="D245" s="177">
        <f>IF(PaymentSchedule[[#This Row],[PMT NO]]&lt;&gt;"",IF(ROW()-ROW(PaymentSchedule[[#Headers],[BEGINNING BALANCE]])=1,LoanAmount,INDEX(PaymentSchedule[ENDING BALANCE],ROW()-ROW(PaymentSchedule[[#Headers],[BEGINNING BALANCE]])-1)),"")</f>
        <v>132140.6803588926</v>
      </c>
      <c r="E245" s="177">
        <f>IF(PaymentSchedule[[#This Row],[PMT NO]]&lt;&gt;"",ScheduledPayment,"")</f>
        <v>1342.0540575303476</v>
      </c>
      <c r="F24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5" s="177">
        <f>IF(PaymentSchedule[[#This Row],[PMT NO]]&lt;&gt;"",PaymentSchedule[[#This Row],[TOTAL PAYMENT]]-PaymentSchedule[[#This Row],[INTEREST]],"")</f>
        <v>791.46788936829512</v>
      </c>
      <c r="I245" s="177">
        <f>IF(PaymentSchedule[[#This Row],[PMT NO]]&lt;&gt;"",PaymentSchedule[[#This Row],[BEGINNING BALANCE]]*(InterestRate/PaymentsPerYear),"")</f>
        <v>550.58616816205245</v>
      </c>
      <c r="J24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131349.2124695243</v>
      </c>
      <c r="K245" s="177">
        <f>IF(PaymentSchedule[[#This Row],[PMT NO]]&lt;&gt;"",SUM(INDEX(PaymentSchedule[INTEREST],1,1):PaymentSchedule[[#This Row],[INTEREST]]),"")</f>
        <v>195389.86193162546</v>
      </c>
      <c r="L245" s="178"/>
    </row>
    <row r="246" spans="2:12" x14ac:dyDescent="0.2">
      <c r="B246" s="175">
        <f>IF(LoanIsGood,IF(ROW()-ROW(PaymentSchedule[[#Headers],[PMT NO]])&gt;ScheduledNumberOfPayments,"",ROW()-ROW(PaymentSchedule[[#Headers],[PMT NO]])),"")</f>
        <v>235</v>
      </c>
      <c r="C246" s="176">
        <f>IF(PaymentSchedule[[#This Row],[PMT NO]]&lt;&gt;"",EOMONTH(LoanStartDate,ROW(PaymentSchedule[[#This Row],[PMT NO]])-ROW(PaymentSchedule[[#Headers],[PMT NO]])-2)+DAY(LoanStartDate),"")</f>
        <v>52140</v>
      </c>
      <c r="D246" s="177">
        <f>IF(PaymentSchedule[[#This Row],[PMT NO]]&lt;&gt;"",IF(ROW()-ROW(PaymentSchedule[[#Headers],[BEGINNING BALANCE]])=1,LoanAmount,INDEX(PaymentSchedule[ENDING BALANCE],ROW()-ROW(PaymentSchedule[[#Headers],[BEGINNING BALANCE]])-1)),"")</f>
        <v>131349.2124695243</v>
      </c>
      <c r="E246" s="177">
        <f>IF(PaymentSchedule[[#This Row],[PMT NO]]&lt;&gt;"",ScheduledPayment,"")</f>
        <v>1342.0540575303476</v>
      </c>
      <c r="F24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6" s="177">
        <f>IF(PaymentSchedule[[#This Row],[PMT NO]]&lt;&gt;"",PaymentSchedule[[#This Row],[TOTAL PAYMENT]]-PaymentSchedule[[#This Row],[INTEREST]],"")</f>
        <v>794.76567224066298</v>
      </c>
      <c r="I246" s="177">
        <f>IF(PaymentSchedule[[#This Row],[PMT NO]]&lt;&gt;"",PaymentSchedule[[#This Row],[BEGINNING BALANCE]]*(InterestRate/PaymentsPerYear),"")</f>
        <v>547.28838528968458</v>
      </c>
      <c r="J24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130554.44679728363</v>
      </c>
      <c r="K246" s="177">
        <f>IF(PaymentSchedule[[#This Row],[PMT NO]]&lt;&gt;"",SUM(INDEX(PaymentSchedule[INTEREST],1,1):PaymentSchedule[[#This Row],[INTEREST]]),"")</f>
        <v>195937.15031691515</v>
      </c>
      <c r="L246" s="178"/>
    </row>
    <row r="247" spans="2:12" x14ac:dyDescent="0.2">
      <c r="B247" s="175">
        <f>IF(LoanIsGood,IF(ROW()-ROW(PaymentSchedule[[#Headers],[PMT NO]])&gt;ScheduledNumberOfPayments,"",ROW()-ROW(PaymentSchedule[[#Headers],[PMT NO]])),"")</f>
        <v>236</v>
      </c>
      <c r="C247" s="176">
        <f>IF(PaymentSchedule[[#This Row],[PMT NO]]&lt;&gt;"",EOMONTH(LoanStartDate,ROW(PaymentSchedule[[#This Row],[PMT NO]])-ROW(PaymentSchedule[[#Headers],[PMT NO]])-2)+DAY(LoanStartDate),"")</f>
        <v>52171</v>
      </c>
      <c r="D247" s="177">
        <f>IF(PaymentSchedule[[#This Row],[PMT NO]]&lt;&gt;"",IF(ROW()-ROW(PaymentSchedule[[#Headers],[BEGINNING BALANCE]])=1,LoanAmount,INDEX(PaymentSchedule[ENDING BALANCE],ROW()-ROW(PaymentSchedule[[#Headers],[BEGINNING BALANCE]])-1)),"")</f>
        <v>130554.44679728363</v>
      </c>
      <c r="E247" s="177">
        <f>IF(PaymentSchedule[[#This Row],[PMT NO]]&lt;&gt;"",ScheduledPayment,"")</f>
        <v>1342.0540575303476</v>
      </c>
      <c r="F24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7" s="177">
        <f>IF(PaymentSchedule[[#This Row],[PMT NO]]&lt;&gt;"",PaymentSchedule[[#This Row],[TOTAL PAYMENT]]-PaymentSchedule[[#This Row],[INTEREST]],"")</f>
        <v>798.07719587499912</v>
      </c>
      <c r="I247" s="177">
        <f>IF(PaymentSchedule[[#This Row],[PMT NO]]&lt;&gt;"",PaymentSchedule[[#This Row],[BEGINNING BALANCE]]*(InterestRate/PaymentsPerYear),"")</f>
        <v>543.97686165534844</v>
      </c>
      <c r="J24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129756.36960140863</v>
      </c>
      <c r="K247" s="177">
        <f>IF(PaymentSchedule[[#This Row],[PMT NO]]&lt;&gt;"",SUM(INDEX(PaymentSchedule[INTEREST],1,1):PaymentSchedule[[#This Row],[INTEREST]]),"")</f>
        <v>196481.12717857052</v>
      </c>
      <c r="L247" s="178"/>
    </row>
    <row r="248" spans="2:12" x14ac:dyDescent="0.2">
      <c r="B248" s="175">
        <f>IF(LoanIsGood,IF(ROW()-ROW(PaymentSchedule[[#Headers],[PMT NO]])&gt;ScheduledNumberOfPayments,"",ROW()-ROW(PaymentSchedule[[#Headers],[PMT NO]])),"")</f>
        <v>237</v>
      </c>
      <c r="C248" s="176">
        <f>IF(PaymentSchedule[[#This Row],[PMT NO]]&lt;&gt;"",EOMONTH(LoanStartDate,ROW(PaymentSchedule[[#This Row],[PMT NO]])-ROW(PaymentSchedule[[#Headers],[PMT NO]])-2)+DAY(LoanStartDate),"")</f>
        <v>52201</v>
      </c>
      <c r="D248" s="177">
        <f>IF(PaymentSchedule[[#This Row],[PMT NO]]&lt;&gt;"",IF(ROW()-ROW(PaymentSchedule[[#Headers],[BEGINNING BALANCE]])=1,LoanAmount,INDEX(PaymentSchedule[ENDING BALANCE],ROW()-ROW(PaymentSchedule[[#Headers],[BEGINNING BALANCE]])-1)),"")</f>
        <v>129756.36960140863</v>
      </c>
      <c r="E248" s="177">
        <f>IF(PaymentSchedule[[#This Row],[PMT NO]]&lt;&gt;"",ScheduledPayment,"")</f>
        <v>1342.0540575303476</v>
      </c>
      <c r="F24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8" s="177">
        <f>IF(PaymentSchedule[[#This Row],[PMT NO]]&lt;&gt;"",PaymentSchedule[[#This Row],[TOTAL PAYMENT]]-PaymentSchedule[[#This Row],[INTEREST]],"")</f>
        <v>801.4025175244783</v>
      </c>
      <c r="I248" s="177">
        <f>IF(PaymentSchedule[[#This Row],[PMT NO]]&lt;&gt;"",PaymentSchedule[[#This Row],[BEGINNING BALANCE]]*(InterestRate/PaymentsPerYear),"")</f>
        <v>540.65154000586926</v>
      </c>
      <c r="J24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128954.96708388416</v>
      </c>
      <c r="K248" s="177">
        <f>IF(PaymentSchedule[[#This Row],[PMT NO]]&lt;&gt;"",SUM(INDEX(PaymentSchedule[INTEREST],1,1):PaymentSchedule[[#This Row],[INTEREST]]),"")</f>
        <v>197021.77871857639</v>
      </c>
      <c r="L248" s="178"/>
    </row>
    <row r="249" spans="2:12" x14ac:dyDescent="0.2">
      <c r="B249" s="175">
        <f>IF(LoanIsGood,IF(ROW()-ROW(PaymentSchedule[[#Headers],[PMT NO]])&gt;ScheduledNumberOfPayments,"",ROW()-ROW(PaymentSchedule[[#Headers],[PMT NO]])),"")</f>
        <v>238</v>
      </c>
      <c r="C249" s="176">
        <f>IF(PaymentSchedule[[#This Row],[PMT NO]]&lt;&gt;"",EOMONTH(LoanStartDate,ROW(PaymentSchedule[[#This Row],[PMT NO]])-ROW(PaymentSchedule[[#Headers],[PMT NO]])-2)+DAY(LoanStartDate),"")</f>
        <v>52232</v>
      </c>
      <c r="D249" s="177">
        <f>IF(PaymentSchedule[[#This Row],[PMT NO]]&lt;&gt;"",IF(ROW()-ROW(PaymentSchedule[[#Headers],[BEGINNING BALANCE]])=1,LoanAmount,INDEX(PaymentSchedule[ENDING BALANCE],ROW()-ROW(PaymentSchedule[[#Headers],[BEGINNING BALANCE]])-1)),"")</f>
        <v>128954.96708388416</v>
      </c>
      <c r="E249" s="177">
        <f>IF(PaymentSchedule[[#This Row],[PMT NO]]&lt;&gt;"",ScheduledPayment,"")</f>
        <v>1342.0540575303476</v>
      </c>
      <c r="F24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49" s="177">
        <f>IF(PaymentSchedule[[#This Row],[PMT NO]]&lt;&gt;"",PaymentSchedule[[#This Row],[TOTAL PAYMENT]]-PaymentSchedule[[#This Row],[INTEREST]],"")</f>
        <v>804.74169468083028</v>
      </c>
      <c r="I249" s="177">
        <f>IF(PaymentSchedule[[#This Row],[PMT NO]]&lt;&gt;"",PaymentSchedule[[#This Row],[BEGINNING BALANCE]]*(InterestRate/PaymentsPerYear),"")</f>
        <v>537.31236284951729</v>
      </c>
      <c r="J24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128150.22538920332</v>
      </c>
      <c r="K249" s="177">
        <f>IF(PaymentSchedule[[#This Row],[PMT NO]]&lt;&gt;"",SUM(INDEX(PaymentSchedule[INTEREST],1,1):PaymentSchedule[[#This Row],[INTEREST]]),"")</f>
        <v>197559.0910814259</v>
      </c>
      <c r="L249" s="178"/>
    </row>
    <row r="250" spans="2:12" x14ac:dyDescent="0.2">
      <c r="B250" s="175">
        <f>IF(LoanIsGood,IF(ROW()-ROW(PaymentSchedule[[#Headers],[PMT NO]])&gt;ScheduledNumberOfPayments,"",ROW()-ROW(PaymentSchedule[[#Headers],[PMT NO]])),"")</f>
        <v>239</v>
      </c>
      <c r="C250" s="176">
        <f>IF(PaymentSchedule[[#This Row],[PMT NO]]&lt;&gt;"",EOMONTH(LoanStartDate,ROW(PaymentSchedule[[#This Row],[PMT NO]])-ROW(PaymentSchedule[[#Headers],[PMT NO]])-2)+DAY(LoanStartDate),"")</f>
        <v>52263</v>
      </c>
      <c r="D250" s="177">
        <f>IF(PaymentSchedule[[#This Row],[PMT NO]]&lt;&gt;"",IF(ROW()-ROW(PaymentSchedule[[#Headers],[BEGINNING BALANCE]])=1,LoanAmount,INDEX(PaymentSchedule[ENDING BALANCE],ROW()-ROW(PaymentSchedule[[#Headers],[BEGINNING BALANCE]])-1)),"")</f>
        <v>128150.22538920332</v>
      </c>
      <c r="E250" s="177">
        <f>IF(PaymentSchedule[[#This Row],[PMT NO]]&lt;&gt;"",ScheduledPayment,"")</f>
        <v>1342.0540575303476</v>
      </c>
      <c r="F25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0" s="177">
        <f>IF(PaymentSchedule[[#This Row],[PMT NO]]&lt;&gt;"",PaymentSchedule[[#This Row],[TOTAL PAYMENT]]-PaymentSchedule[[#This Row],[INTEREST]],"")</f>
        <v>808.09478507533379</v>
      </c>
      <c r="I250" s="177">
        <f>IF(PaymentSchedule[[#This Row],[PMT NO]]&lt;&gt;"",PaymentSchedule[[#This Row],[BEGINNING BALANCE]]*(InterestRate/PaymentsPerYear),"")</f>
        <v>533.95927245501377</v>
      </c>
      <c r="J25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127342.13060412799</v>
      </c>
      <c r="K250" s="177">
        <f>IF(PaymentSchedule[[#This Row],[PMT NO]]&lt;&gt;"",SUM(INDEX(PaymentSchedule[INTEREST],1,1):PaymentSchedule[[#This Row],[INTEREST]]),"")</f>
        <v>198093.05035388091</v>
      </c>
      <c r="L250" s="178"/>
    </row>
    <row r="251" spans="2:12" x14ac:dyDescent="0.2">
      <c r="B251" s="175">
        <f>IF(LoanIsGood,IF(ROW()-ROW(PaymentSchedule[[#Headers],[PMT NO]])&gt;ScheduledNumberOfPayments,"",ROW()-ROW(PaymentSchedule[[#Headers],[PMT NO]])),"")</f>
        <v>240</v>
      </c>
      <c r="C251" s="176">
        <f>IF(PaymentSchedule[[#This Row],[PMT NO]]&lt;&gt;"",EOMONTH(LoanStartDate,ROW(PaymentSchedule[[#This Row],[PMT NO]])-ROW(PaymentSchedule[[#Headers],[PMT NO]])-2)+DAY(LoanStartDate),"")</f>
        <v>52291</v>
      </c>
      <c r="D251" s="177">
        <f>IF(PaymentSchedule[[#This Row],[PMT NO]]&lt;&gt;"",IF(ROW()-ROW(PaymentSchedule[[#Headers],[BEGINNING BALANCE]])=1,LoanAmount,INDEX(PaymentSchedule[ENDING BALANCE],ROW()-ROW(PaymentSchedule[[#Headers],[BEGINNING BALANCE]])-1)),"")</f>
        <v>127342.13060412799</v>
      </c>
      <c r="E251" s="177">
        <f>IF(PaymentSchedule[[#This Row],[PMT NO]]&lt;&gt;"",ScheduledPayment,"")</f>
        <v>1342.0540575303476</v>
      </c>
      <c r="F25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1" s="177">
        <f>IF(PaymentSchedule[[#This Row],[PMT NO]]&lt;&gt;"",PaymentSchedule[[#This Row],[TOTAL PAYMENT]]-PaymentSchedule[[#This Row],[INTEREST]],"")</f>
        <v>811.46184667981424</v>
      </c>
      <c r="I251" s="177">
        <f>IF(PaymentSchedule[[#This Row],[PMT NO]]&lt;&gt;"",PaymentSchedule[[#This Row],[BEGINNING BALANCE]]*(InterestRate/PaymentsPerYear),"")</f>
        <v>530.59221085053332</v>
      </c>
      <c r="J25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126530.66875744818</v>
      </c>
      <c r="K251" s="177">
        <f>IF(PaymentSchedule[[#This Row],[PMT NO]]&lt;&gt;"",SUM(INDEX(PaymentSchedule[INTEREST],1,1):PaymentSchedule[[#This Row],[INTEREST]]),"")</f>
        <v>198623.64256473145</v>
      </c>
      <c r="L251" s="178"/>
    </row>
    <row r="252" spans="2:12" x14ac:dyDescent="0.2">
      <c r="B252" s="175">
        <f>IF(LoanIsGood,IF(ROW()-ROW(PaymentSchedule[[#Headers],[PMT NO]])&gt;ScheduledNumberOfPayments,"",ROW()-ROW(PaymentSchedule[[#Headers],[PMT NO]])),"")</f>
        <v>241</v>
      </c>
      <c r="C252" s="176">
        <f>IF(PaymentSchedule[[#This Row],[PMT NO]]&lt;&gt;"",EOMONTH(LoanStartDate,ROW(PaymentSchedule[[#This Row],[PMT NO]])-ROW(PaymentSchedule[[#Headers],[PMT NO]])-2)+DAY(LoanStartDate),"")</f>
        <v>52322</v>
      </c>
      <c r="D252" s="177">
        <f>IF(PaymentSchedule[[#This Row],[PMT NO]]&lt;&gt;"",IF(ROW()-ROW(PaymentSchedule[[#Headers],[BEGINNING BALANCE]])=1,LoanAmount,INDEX(PaymentSchedule[ENDING BALANCE],ROW()-ROW(PaymentSchedule[[#Headers],[BEGINNING BALANCE]])-1)),"")</f>
        <v>126530.66875744818</v>
      </c>
      <c r="E252" s="177">
        <f>IF(PaymentSchedule[[#This Row],[PMT NO]]&lt;&gt;"",ScheduledPayment,"")</f>
        <v>1342.0540575303476</v>
      </c>
      <c r="F25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2" s="177">
        <f>IF(PaymentSchedule[[#This Row],[PMT NO]]&lt;&gt;"",PaymentSchedule[[#This Row],[TOTAL PAYMENT]]-PaymentSchedule[[#This Row],[INTEREST]],"")</f>
        <v>814.8429377076468</v>
      </c>
      <c r="I252" s="177">
        <f>IF(PaymentSchedule[[#This Row],[PMT NO]]&lt;&gt;"",PaymentSchedule[[#This Row],[BEGINNING BALANCE]]*(InterestRate/PaymentsPerYear),"")</f>
        <v>527.21111982270077</v>
      </c>
      <c r="J25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125715.82581974052</v>
      </c>
      <c r="K252" s="177">
        <f>IF(PaymentSchedule[[#This Row],[PMT NO]]&lt;&gt;"",SUM(INDEX(PaymentSchedule[INTEREST],1,1):PaymentSchedule[[#This Row],[INTEREST]]),"")</f>
        <v>199150.85368455414</v>
      </c>
      <c r="L252" s="178"/>
    </row>
    <row r="253" spans="2:12" x14ac:dyDescent="0.2">
      <c r="B253" s="175">
        <f>IF(LoanIsGood,IF(ROW()-ROW(PaymentSchedule[[#Headers],[PMT NO]])&gt;ScheduledNumberOfPayments,"",ROW()-ROW(PaymentSchedule[[#Headers],[PMT NO]])),"")</f>
        <v>242</v>
      </c>
      <c r="C253" s="176">
        <f>IF(PaymentSchedule[[#This Row],[PMT NO]]&lt;&gt;"",EOMONTH(LoanStartDate,ROW(PaymentSchedule[[#This Row],[PMT NO]])-ROW(PaymentSchedule[[#Headers],[PMT NO]])-2)+DAY(LoanStartDate),"")</f>
        <v>52352</v>
      </c>
      <c r="D253" s="177">
        <f>IF(PaymentSchedule[[#This Row],[PMT NO]]&lt;&gt;"",IF(ROW()-ROW(PaymentSchedule[[#Headers],[BEGINNING BALANCE]])=1,LoanAmount,INDEX(PaymentSchedule[ENDING BALANCE],ROW()-ROW(PaymentSchedule[[#Headers],[BEGINNING BALANCE]])-1)),"")</f>
        <v>125715.82581974052</v>
      </c>
      <c r="E253" s="177">
        <f>IF(PaymentSchedule[[#This Row],[PMT NO]]&lt;&gt;"",ScheduledPayment,"")</f>
        <v>1342.0540575303476</v>
      </c>
      <c r="F25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3" s="177">
        <f>IF(PaymentSchedule[[#This Row],[PMT NO]]&lt;&gt;"",PaymentSchedule[[#This Row],[TOTAL PAYMENT]]-PaymentSchedule[[#This Row],[INTEREST]],"")</f>
        <v>818.23811661476202</v>
      </c>
      <c r="I253" s="177">
        <f>IF(PaymentSchedule[[#This Row],[PMT NO]]&lt;&gt;"",PaymentSchedule[[#This Row],[BEGINNING BALANCE]]*(InterestRate/PaymentsPerYear),"")</f>
        <v>523.81594091558554</v>
      </c>
      <c r="J25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124897.58770312576</v>
      </c>
      <c r="K253" s="177">
        <f>IF(PaymentSchedule[[#This Row],[PMT NO]]&lt;&gt;"",SUM(INDEX(PaymentSchedule[INTEREST],1,1):PaymentSchedule[[#This Row],[INTEREST]]),"")</f>
        <v>199674.66962546972</v>
      </c>
      <c r="L253" s="178"/>
    </row>
    <row r="254" spans="2:12" x14ac:dyDescent="0.2">
      <c r="B254" s="175">
        <f>IF(LoanIsGood,IF(ROW()-ROW(PaymentSchedule[[#Headers],[PMT NO]])&gt;ScheduledNumberOfPayments,"",ROW()-ROW(PaymentSchedule[[#Headers],[PMT NO]])),"")</f>
        <v>243</v>
      </c>
      <c r="C254" s="176">
        <f>IF(PaymentSchedule[[#This Row],[PMT NO]]&lt;&gt;"",EOMONTH(LoanStartDate,ROW(PaymentSchedule[[#This Row],[PMT NO]])-ROW(PaymentSchedule[[#Headers],[PMT NO]])-2)+DAY(LoanStartDate),"")</f>
        <v>52383</v>
      </c>
      <c r="D254" s="177">
        <f>IF(PaymentSchedule[[#This Row],[PMT NO]]&lt;&gt;"",IF(ROW()-ROW(PaymentSchedule[[#Headers],[BEGINNING BALANCE]])=1,LoanAmount,INDEX(PaymentSchedule[ENDING BALANCE],ROW()-ROW(PaymentSchedule[[#Headers],[BEGINNING BALANCE]])-1)),"")</f>
        <v>124897.58770312576</v>
      </c>
      <c r="E254" s="177">
        <f>IF(PaymentSchedule[[#This Row],[PMT NO]]&lt;&gt;"",ScheduledPayment,"")</f>
        <v>1342.0540575303476</v>
      </c>
      <c r="F25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4" s="177">
        <f>IF(PaymentSchedule[[#This Row],[PMT NO]]&lt;&gt;"",PaymentSchedule[[#This Row],[TOTAL PAYMENT]]-PaymentSchedule[[#This Row],[INTEREST]],"")</f>
        <v>821.64744210065692</v>
      </c>
      <c r="I254" s="177">
        <f>IF(PaymentSchedule[[#This Row],[PMT NO]]&lt;&gt;"",PaymentSchedule[[#This Row],[BEGINNING BALANCE]]*(InterestRate/PaymentsPerYear),"")</f>
        <v>520.40661542969065</v>
      </c>
      <c r="J25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124075.9402610251</v>
      </c>
      <c r="K254" s="177">
        <f>IF(PaymentSchedule[[#This Row],[PMT NO]]&lt;&gt;"",SUM(INDEX(PaymentSchedule[INTEREST],1,1):PaymentSchedule[[#This Row],[INTEREST]]),"")</f>
        <v>200195.07624089942</v>
      </c>
      <c r="L254" s="178"/>
    </row>
    <row r="255" spans="2:12" x14ac:dyDescent="0.2">
      <c r="B255" s="175">
        <f>IF(LoanIsGood,IF(ROW()-ROW(PaymentSchedule[[#Headers],[PMT NO]])&gt;ScheduledNumberOfPayments,"",ROW()-ROW(PaymentSchedule[[#Headers],[PMT NO]])),"")</f>
        <v>244</v>
      </c>
      <c r="C255" s="176">
        <f>IF(PaymentSchedule[[#This Row],[PMT NO]]&lt;&gt;"",EOMONTH(LoanStartDate,ROW(PaymentSchedule[[#This Row],[PMT NO]])-ROW(PaymentSchedule[[#Headers],[PMT NO]])-2)+DAY(LoanStartDate),"")</f>
        <v>52413</v>
      </c>
      <c r="D255" s="177">
        <f>IF(PaymentSchedule[[#This Row],[PMT NO]]&lt;&gt;"",IF(ROW()-ROW(PaymentSchedule[[#Headers],[BEGINNING BALANCE]])=1,LoanAmount,INDEX(PaymentSchedule[ENDING BALANCE],ROW()-ROW(PaymentSchedule[[#Headers],[BEGINNING BALANCE]])-1)),"")</f>
        <v>124075.9402610251</v>
      </c>
      <c r="E255" s="177">
        <f>IF(PaymentSchedule[[#This Row],[PMT NO]]&lt;&gt;"",ScheduledPayment,"")</f>
        <v>1342.0540575303476</v>
      </c>
      <c r="F25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5" s="177">
        <f>IF(PaymentSchedule[[#This Row],[PMT NO]]&lt;&gt;"",PaymentSchedule[[#This Row],[TOTAL PAYMENT]]-PaymentSchedule[[#This Row],[INTEREST]],"")</f>
        <v>825.07097310940969</v>
      </c>
      <c r="I255" s="177">
        <f>IF(PaymentSchedule[[#This Row],[PMT NO]]&lt;&gt;"",PaymentSchedule[[#This Row],[BEGINNING BALANCE]]*(InterestRate/PaymentsPerYear),"")</f>
        <v>516.98308442093787</v>
      </c>
      <c r="J25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123250.86928791569</v>
      </c>
      <c r="K255" s="177">
        <f>IF(PaymentSchedule[[#This Row],[PMT NO]]&lt;&gt;"",SUM(INDEX(PaymentSchedule[INTEREST],1,1):PaymentSchedule[[#This Row],[INTEREST]]),"")</f>
        <v>200712.05932532036</v>
      </c>
      <c r="L255" s="178"/>
    </row>
    <row r="256" spans="2:12" x14ac:dyDescent="0.2">
      <c r="B256" s="175">
        <f>IF(LoanIsGood,IF(ROW()-ROW(PaymentSchedule[[#Headers],[PMT NO]])&gt;ScheduledNumberOfPayments,"",ROW()-ROW(PaymentSchedule[[#Headers],[PMT NO]])),"")</f>
        <v>245</v>
      </c>
      <c r="C256" s="176">
        <f>IF(PaymentSchedule[[#This Row],[PMT NO]]&lt;&gt;"",EOMONTH(LoanStartDate,ROW(PaymentSchedule[[#This Row],[PMT NO]])-ROW(PaymentSchedule[[#Headers],[PMT NO]])-2)+DAY(LoanStartDate),"")</f>
        <v>52444</v>
      </c>
      <c r="D256" s="177">
        <f>IF(PaymentSchedule[[#This Row],[PMT NO]]&lt;&gt;"",IF(ROW()-ROW(PaymentSchedule[[#Headers],[BEGINNING BALANCE]])=1,LoanAmount,INDEX(PaymentSchedule[ENDING BALANCE],ROW()-ROW(PaymentSchedule[[#Headers],[BEGINNING BALANCE]])-1)),"")</f>
        <v>123250.86928791569</v>
      </c>
      <c r="E256" s="177">
        <f>IF(PaymentSchedule[[#This Row],[PMT NO]]&lt;&gt;"",ScheduledPayment,"")</f>
        <v>1342.0540575303476</v>
      </c>
      <c r="F25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6" s="177">
        <f>IF(PaymentSchedule[[#This Row],[PMT NO]]&lt;&gt;"",PaymentSchedule[[#This Row],[TOTAL PAYMENT]]-PaymentSchedule[[#This Row],[INTEREST]],"")</f>
        <v>828.50876883069884</v>
      </c>
      <c r="I256" s="177">
        <f>IF(PaymentSchedule[[#This Row],[PMT NO]]&lt;&gt;"",PaymentSchedule[[#This Row],[BEGINNING BALANCE]]*(InterestRate/PaymentsPerYear),"")</f>
        <v>513.54528869964872</v>
      </c>
      <c r="J25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122422.36051908499</v>
      </c>
      <c r="K256" s="177">
        <f>IF(PaymentSchedule[[#This Row],[PMT NO]]&lt;&gt;"",SUM(INDEX(PaymentSchedule[INTEREST],1,1):PaymentSchedule[[#This Row],[INTEREST]]),"")</f>
        <v>201225.60461402001</v>
      </c>
      <c r="L256" s="178"/>
    </row>
    <row r="257" spans="2:12" x14ac:dyDescent="0.2">
      <c r="B257" s="175">
        <f>IF(LoanIsGood,IF(ROW()-ROW(PaymentSchedule[[#Headers],[PMT NO]])&gt;ScheduledNumberOfPayments,"",ROW()-ROW(PaymentSchedule[[#Headers],[PMT NO]])),"")</f>
        <v>246</v>
      </c>
      <c r="C257" s="176">
        <f>IF(PaymentSchedule[[#This Row],[PMT NO]]&lt;&gt;"",EOMONTH(LoanStartDate,ROW(PaymentSchedule[[#This Row],[PMT NO]])-ROW(PaymentSchedule[[#Headers],[PMT NO]])-2)+DAY(LoanStartDate),"")</f>
        <v>52475</v>
      </c>
      <c r="D257" s="177">
        <f>IF(PaymentSchedule[[#This Row],[PMT NO]]&lt;&gt;"",IF(ROW()-ROW(PaymentSchedule[[#Headers],[BEGINNING BALANCE]])=1,LoanAmount,INDEX(PaymentSchedule[ENDING BALANCE],ROW()-ROW(PaymentSchedule[[#Headers],[BEGINNING BALANCE]])-1)),"")</f>
        <v>122422.36051908499</v>
      </c>
      <c r="E257" s="177">
        <f>IF(PaymentSchedule[[#This Row],[PMT NO]]&lt;&gt;"",ScheduledPayment,"")</f>
        <v>1342.0540575303476</v>
      </c>
      <c r="F25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7" s="177">
        <f>IF(PaymentSchedule[[#This Row],[PMT NO]]&lt;&gt;"",PaymentSchedule[[#This Row],[TOTAL PAYMENT]]-PaymentSchedule[[#This Row],[INTEREST]],"")</f>
        <v>831.96088870082679</v>
      </c>
      <c r="I257" s="177">
        <f>IF(PaymentSchedule[[#This Row],[PMT NO]]&lt;&gt;"",PaymentSchedule[[#This Row],[BEGINNING BALANCE]]*(InterestRate/PaymentsPerYear),"")</f>
        <v>510.09316882952078</v>
      </c>
      <c r="J25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121590.39963038417</v>
      </c>
      <c r="K257" s="177">
        <f>IF(PaymentSchedule[[#This Row],[PMT NO]]&lt;&gt;"",SUM(INDEX(PaymentSchedule[INTEREST],1,1):PaymentSchedule[[#This Row],[INTEREST]]),"")</f>
        <v>201735.69778284951</v>
      </c>
      <c r="L257" s="178"/>
    </row>
    <row r="258" spans="2:12" x14ac:dyDescent="0.2">
      <c r="B258" s="175">
        <f>IF(LoanIsGood,IF(ROW()-ROW(PaymentSchedule[[#Headers],[PMT NO]])&gt;ScheduledNumberOfPayments,"",ROW()-ROW(PaymentSchedule[[#Headers],[PMT NO]])),"")</f>
        <v>247</v>
      </c>
      <c r="C258" s="176">
        <f>IF(PaymentSchedule[[#This Row],[PMT NO]]&lt;&gt;"",EOMONTH(LoanStartDate,ROW(PaymentSchedule[[#This Row],[PMT NO]])-ROW(PaymentSchedule[[#Headers],[PMT NO]])-2)+DAY(LoanStartDate),"")</f>
        <v>52505</v>
      </c>
      <c r="D258" s="177">
        <f>IF(PaymentSchedule[[#This Row],[PMT NO]]&lt;&gt;"",IF(ROW()-ROW(PaymentSchedule[[#Headers],[BEGINNING BALANCE]])=1,LoanAmount,INDEX(PaymentSchedule[ENDING BALANCE],ROW()-ROW(PaymentSchedule[[#Headers],[BEGINNING BALANCE]])-1)),"")</f>
        <v>121590.39963038417</v>
      </c>
      <c r="E258" s="177">
        <f>IF(PaymentSchedule[[#This Row],[PMT NO]]&lt;&gt;"",ScheduledPayment,"")</f>
        <v>1342.0540575303476</v>
      </c>
      <c r="F25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8" s="177">
        <f>IF(PaymentSchedule[[#This Row],[PMT NO]]&lt;&gt;"",PaymentSchedule[[#This Row],[TOTAL PAYMENT]]-PaymentSchedule[[#This Row],[INTEREST]],"")</f>
        <v>835.42739240374681</v>
      </c>
      <c r="I258" s="177">
        <f>IF(PaymentSchedule[[#This Row],[PMT NO]]&lt;&gt;"",PaymentSchedule[[#This Row],[BEGINNING BALANCE]]*(InterestRate/PaymentsPerYear),"")</f>
        <v>506.6266651266007</v>
      </c>
      <c r="J25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120754.97223798043</v>
      </c>
      <c r="K258" s="177">
        <f>IF(PaymentSchedule[[#This Row],[PMT NO]]&lt;&gt;"",SUM(INDEX(PaymentSchedule[INTEREST],1,1):PaymentSchedule[[#This Row],[INTEREST]]),"")</f>
        <v>202242.32444797611</v>
      </c>
      <c r="L258" s="178"/>
    </row>
    <row r="259" spans="2:12" x14ac:dyDescent="0.2">
      <c r="B259" s="175">
        <f>IF(LoanIsGood,IF(ROW()-ROW(PaymentSchedule[[#Headers],[PMT NO]])&gt;ScheduledNumberOfPayments,"",ROW()-ROW(PaymentSchedule[[#Headers],[PMT NO]])),"")</f>
        <v>248</v>
      </c>
      <c r="C259" s="176">
        <f>IF(PaymentSchedule[[#This Row],[PMT NO]]&lt;&gt;"",EOMONTH(LoanStartDate,ROW(PaymentSchedule[[#This Row],[PMT NO]])-ROW(PaymentSchedule[[#Headers],[PMT NO]])-2)+DAY(LoanStartDate),"")</f>
        <v>52536</v>
      </c>
      <c r="D259" s="177">
        <f>IF(PaymentSchedule[[#This Row],[PMT NO]]&lt;&gt;"",IF(ROW()-ROW(PaymentSchedule[[#Headers],[BEGINNING BALANCE]])=1,LoanAmount,INDEX(PaymentSchedule[ENDING BALANCE],ROW()-ROW(PaymentSchedule[[#Headers],[BEGINNING BALANCE]])-1)),"")</f>
        <v>120754.97223798043</v>
      </c>
      <c r="E259" s="177">
        <f>IF(PaymentSchedule[[#This Row],[PMT NO]]&lt;&gt;"",ScheduledPayment,"")</f>
        <v>1342.0540575303476</v>
      </c>
      <c r="F25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59" s="177">
        <f>IF(PaymentSchedule[[#This Row],[PMT NO]]&lt;&gt;"",PaymentSchedule[[#This Row],[TOTAL PAYMENT]]-PaymentSchedule[[#This Row],[INTEREST]],"")</f>
        <v>838.90833987209578</v>
      </c>
      <c r="I259" s="177">
        <f>IF(PaymentSchedule[[#This Row],[PMT NO]]&lt;&gt;"",PaymentSchedule[[#This Row],[BEGINNING BALANCE]]*(InterestRate/PaymentsPerYear),"")</f>
        <v>503.14571765825178</v>
      </c>
      <c r="J25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119916.06389810833</v>
      </c>
      <c r="K259" s="177">
        <f>IF(PaymentSchedule[[#This Row],[PMT NO]]&lt;&gt;"",SUM(INDEX(PaymentSchedule[INTEREST],1,1):PaymentSchedule[[#This Row],[INTEREST]]),"")</f>
        <v>202745.47016563435</v>
      </c>
      <c r="L259" s="178"/>
    </row>
    <row r="260" spans="2:12" x14ac:dyDescent="0.2">
      <c r="B260" s="175">
        <f>IF(LoanIsGood,IF(ROW()-ROW(PaymentSchedule[[#Headers],[PMT NO]])&gt;ScheduledNumberOfPayments,"",ROW()-ROW(PaymentSchedule[[#Headers],[PMT NO]])),"")</f>
        <v>249</v>
      </c>
      <c r="C260" s="176">
        <f>IF(PaymentSchedule[[#This Row],[PMT NO]]&lt;&gt;"",EOMONTH(LoanStartDate,ROW(PaymentSchedule[[#This Row],[PMT NO]])-ROW(PaymentSchedule[[#Headers],[PMT NO]])-2)+DAY(LoanStartDate),"")</f>
        <v>52566</v>
      </c>
      <c r="D260" s="177">
        <f>IF(PaymentSchedule[[#This Row],[PMT NO]]&lt;&gt;"",IF(ROW()-ROW(PaymentSchedule[[#Headers],[BEGINNING BALANCE]])=1,LoanAmount,INDEX(PaymentSchedule[ENDING BALANCE],ROW()-ROW(PaymentSchedule[[#Headers],[BEGINNING BALANCE]])-1)),"")</f>
        <v>119916.06389810833</v>
      </c>
      <c r="E260" s="177">
        <f>IF(PaymentSchedule[[#This Row],[PMT NO]]&lt;&gt;"",ScheduledPayment,"")</f>
        <v>1342.0540575303476</v>
      </c>
      <c r="F26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0" s="177">
        <f>IF(PaymentSchedule[[#This Row],[PMT NO]]&lt;&gt;"",PaymentSchedule[[#This Row],[TOTAL PAYMENT]]-PaymentSchedule[[#This Row],[INTEREST]],"")</f>
        <v>842.40379128822951</v>
      </c>
      <c r="I260" s="177">
        <f>IF(PaymentSchedule[[#This Row],[PMT NO]]&lt;&gt;"",PaymentSchedule[[#This Row],[BEGINNING BALANCE]]*(InterestRate/PaymentsPerYear),"")</f>
        <v>499.65026624211805</v>
      </c>
      <c r="J26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119073.6601068201</v>
      </c>
      <c r="K260" s="177">
        <f>IF(PaymentSchedule[[#This Row],[PMT NO]]&lt;&gt;"",SUM(INDEX(PaymentSchedule[INTEREST],1,1):PaymentSchedule[[#This Row],[INTEREST]]),"")</f>
        <v>203245.12043187648</v>
      </c>
      <c r="L260" s="178"/>
    </row>
    <row r="261" spans="2:12" x14ac:dyDescent="0.2">
      <c r="B261" s="175">
        <f>IF(LoanIsGood,IF(ROW()-ROW(PaymentSchedule[[#Headers],[PMT NO]])&gt;ScheduledNumberOfPayments,"",ROW()-ROW(PaymentSchedule[[#Headers],[PMT NO]])),"")</f>
        <v>250</v>
      </c>
      <c r="C261" s="176">
        <f>IF(PaymentSchedule[[#This Row],[PMT NO]]&lt;&gt;"",EOMONTH(LoanStartDate,ROW(PaymentSchedule[[#This Row],[PMT NO]])-ROW(PaymentSchedule[[#Headers],[PMT NO]])-2)+DAY(LoanStartDate),"")</f>
        <v>52597</v>
      </c>
      <c r="D261" s="177">
        <f>IF(PaymentSchedule[[#This Row],[PMT NO]]&lt;&gt;"",IF(ROW()-ROW(PaymentSchedule[[#Headers],[BEGINNING BALANCE]])=1,LoanAmount,INDEX(PaymentSchedule[ENDING BALANCE],ROW()-ROW(PaymentSchedule[[#Headers],[BEGINNING BALANCE]])-1)),"")</f>
        <v>119073.6601068201</v>
      </c>
      <c r="E261" s="177">
        <f>IF(PaymentSchedule[[#This Row],[PMT NO]]&lt;&gt;"",ScheduledPayment,"")</f>
        <v>1342.0540575303476</v>
      </c>
      <c r="F26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1" s="177">
        <f>IF(PaymentSchedule[[#This Row],[PMT NO]]&lt;&gt;"",PaymentSchedule[[#This Row],[TOTAL PAYMENT]]-PaymentSchedule[[#This Row],[INTEREST]],"")</f>
        <v>845.9138070852639</v>
      </c>
      <c r="I261" s="177">
        <f>IF(PaymentSchedule[[#This Row],[PMT NO]]&lt;&gt;"",PaymentSchedule[[#This Row],[BEGINNING BALANCE]]*(InterestRate/PaymentsPerYear),"")</f>
        <v>496.14025044508372</v>
      </c>
      <c r="J26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118227.74629973483</v>
      </c>
      <c r="K261" s="177">
        <f>IF(PaymentSchedule[[#This Row],[PMT NO]]&lt;&gt;"",SUM(INDEX(PaymentSchedule[INTEREST],1,1):PaymentSchedule[[#This Row],[INTEREST]]),"")</f>
        <v>203741.26068232156</v>
      </c>
      <c r="L261" s="178"/>
    </row>
    <row r="262" spans="2:12" x14ac:dyDescent="0.2">
      <c r="B262" s="175">
        <f>IF(LoanIsGood,IF(ROW()-ROW(PaymentSchedule[[#Headers],[PMT NO]])&gt;ScheduledNumberOfPayments,"",ROW()-ROW(PaymentSchedule[[#Headers],[PMT NO]])),"")</f>
        <v>251</v>
      </c>
      <c r="C262" s="176">
        <f>IF(PaymentSchedule[[#This Row],[PMT NO]]&lt;&gt;"",EOMONTH(LoanStartDate,ROW(PaymentSchedule[[#This Row],[PMT NO]])-ROW(PaymentSchedule[[#Headers],[PMT NO]])-2)+DAY(LoanStartDate),"")</f>
        <v>52628</v>
      </c>
      <c r="D262" s="177">
        <f>IF(PaymentSchedule[[#This Row],[PMT NO]]&lt;&gt;"",IF(ROW()-ROW(PaymentSchedule[[#Headers],[BEGINNING BALANCE]])=1,LoanAmount,INDEX(PaymentSchedule[ENDING BALANCE],ROW()-ROW(PaymentSchedule[[#Headers],[BEGINNING BALANCE]])-1)),"")</f>
        <v>118227.74629973483</v>
      </c>
      <c r="E262" s="177">
        <f>IF(PaymentSchedule[[#This Row],[PMT NO]]&lt;&gt;"",ScheduledPayment,"")</f>
        <v>1342.0540575303476</v>
      </c>
      <c r="F26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2" s="177">
        <f>IF(PaymentSchedule[[#This Row],[PMT NO]]&lt;&gt;"",PaymentSchedule[[#This Row],[TOTAL PAYMENT]]-PaymentSchedule[[#This Row],[INTEREST]],"")</f>
        <v>849.43844794811912</v>
      </c>
      <c r="I262" s="177">
        <f>IF(PaymentSchedule[[#This Row],[PMT NO]]&lt;&gt;"",PaymentSchedule[[#This Row],[BEGINNING BALANCE]]*(InterestRate/PaymentsPerYear),"")</f>
        <v>492.61560958222844</v>
      </c>
      <c r="J26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117378.30785178671</v>
      </c>
      <c r="K262" s="177">
        <f>IF(PaymentSchedule[[#This Row],[PMT NO]]&lt;&gt;"",SUM(INDEX(PaymentSchedule[INTEREST],1,1):PaymentSchedule[[#This Row],[INTEREST]]),"")</f>
        <v>204233.87629190378</v>
      </c>
      <c r="L262" s="178"/>
    </row>
    <row r="263" spans="2:12" x14ac:dyDescent="0.2">
      <c r="B263" s="175">
        <f>IF(LoanIsGood,IF(ROW()-ROW(PaymentSchedule[[#Headers],[PMT NO]])&gt;ScheduledNumberOfPayments,"",ROW()-ROW(PaymentSchedule[[#Headers],[PMT NO]])),"")</f>
        <v>252</v>
      </c>
      <c r="C263" s="176">
        <f>IF(PaymentSchedule[[#This Row],[PMT NO]]&lt;&gt;"",EOMONTH(LoanStartDate,ROW(PaymentSchedule[[#This Row],[PMT NO]])-ROW(PaymentSchedule[[#Headers],[PMT NO]])-2)+DAY(LoanStartDate),"")</f>
        <v>52657</v>
      </c>
      <c r="D263" s="177">
        <f>IF(PaymentSchedule[[#This Row],[PMT NO]]&lt;&gt;"",IF(ROW()-ROW(PaymentSchedule[[#Headers],[BEGINNING BALANCE]])=1,LoanAmount,INDEX(PaymentSchedule[ENDING BALANCE],ROW()-ROW(PaymentSchedule[[#Headers],[BEGINNING BALANCE]])-1)),"")</f>
        <v>117378.30785178671</v>
      </c>
      <c r="E263" s="177">
        <f>IF(PaymentSchedule[[#This Row],[PMT NO]]&lt;&gt;"",ScheduledPayment,"")</f>
        <v>1342.0540575303476</v>
      </c>
      <c r="F26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3" s="177">
        <f>IF(PaymentSchedule[[#This Row],[PMT NO]]&lt;&gt;"",PaymentSchedule[[#This Row],[TOTAL PAYMENT]]-PaymentSchedule[[#This Row],[INTEREST]],"")</f>
        <v>852.97777481456956</v>
      </c>
      <c r="I263" s="177">
        <f>IF(PaymentSchedule[[#This Row],[PMT NO]]&lt;&gt;"",PaymentSchedule[[#This Row],[BEGINNING BALANCE]]*(InterestRate/PaymentsPerYear),"")</f>
        <v>489.07628271577795</v>
      </c>
      <c r="J26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116525.33007697214</v>
      </c>
      <c r="K263" s="177">
        <f>IF(PaymentSchedule[[#This Row],[PMT NO]]&lt;&gt;"",SUM(INDEX(PaymentSchedule[INTEREST],1,1):PaymentSchedule[[#This Row],[INTEREST]]),"")</f>
        <v>204722.95257461956</v>
      </c>
      <c r="L263" s="178"/>
    </row>
    <row r="264" spans="2:12" x14ac:dyDescent="0.2">
      <c r="B264" s="175">
        <f>IF(LoanIsGood,IF(ROW()-ROW(PaymentSchedule[[#Headers],[PMT NO]])&gt;ScheduledNumberOfPayments,"",ROW()-ROW(PaymentSchedule[[#Headers],[PMT NO]])),"")</f>
        <v>253</v>
      </c>
      <c r="C264" s="176">
        <f>IF(PaymentSchedule[[#This Row],[PMT NO]]&lt;&gt;"",EOMONTH(LoanStartDate,ROW(PaymentSchedule[[#This Row],[PMT NO]])-ROW(PaymentSchedule[[#Headers],[PMT NO]])-2)+DAY(LoanStartDate),"")</f>
        <v>52688</v>
      </c>
      <c r="D264" s="177">
        <f>IF(PaymentSchedule[[#This Row],[PMT NO]]&lt;&gt;"",IF(ROW()-ROW(PaymentSchedule[[#Headers],[BEGINNING BALANCE]])=1,LoanAmount,INDEX(PaymentSchedule[ENDING BALANCE],ROW()-ROW(PaymentSchedule[[#Headers],[BEGINNING BALANCE]])-1)),"")</f>
        <v>116525.33007697214</v>
      </c>
      <c r="E264" s="177">
        <f>IF(PaymentSchedule[[#This Row],[PMT NO]]&lt;&gt;"",ScheduledPayment,"")</f>
        <v>1342.0540575303476</v>
      </c>
      <c r="F26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4" s="177">
        <f>IF(PaymentSchedule[[#This Row],[PMT NO]]&lt;&gt;"",PaymentSchedule[[#This Row],[TOTAL PAYMENT]]-PaymentSchedule[[#This Row],[INTEREST]],"")</f>
        <v>856.53184887629698</v>
      </c>
      <c r="I264" s="177">
        <f>IF(PaymentSchedule[[#This Row],[PMT NO]]&lt;&gt;"",PaymentSchedule[[#This Row],[BEGINNING BALANCE]]*(InterestRate/PaymentsPerYear),"")</f>
        <v>485.52220865405059</v>
      </c>
      <c r="J26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115668.79822809584</v>
      </c>
      <c r="K264" s="177">
        <f>IF(PaymentSchedule[[#This Row],[PMT NO]]&lt;&gt;"",SUM(INDEX(PaymentSchedule[INTEREST],1,1):PaymentSchedule[[#This Row],[INTEREST]]),"")</f>
        <v>205208.47478327362</v>
      </c>
      <c r="L264" s="178"/>
    </row>
    <row r="265" spans="2:12" x14ac:dyDescent="0.2">
      <c r="B265" s="175">
        <f>IF(LoanIsGood,IF(ROW()-ROW(PaymentSchedule[[#Headers],[PMT NO]])&gt;ScheduledNumberOfPayments,"",ROW()-ROW(PaymentSchedule[[#Headers],[PMT NO]])),"")</f>
        <v>254</v>
      </c>
      <c r="C265" s="176">
        <f>IF(PaymentSchedule[[#This Row],[PMT NO]]&lt;&gt;"",EOMONTH(LoanStartDate,ROW(PaymentSchedule[[#This Row],[PMT NO]])-ROW(PaymentSchedule[[#Headers],[PMT NO]])-2)+DAY(LoanStartDate),"")</f>
        <v>52718</v>
      </c>
      <c r="D265" s="177">
        <f>IF(PaymentSchedule[[#This Row],[PMT NO]]&lt;&gt;"",IF(ROW()-ROW(PaymentSchedule[[#Headers],[BEGINNING BALANCE]])=1,LoanAmount,INDEX(PaymentSchedule[ENDING BALANCE],ROW()-ROW(PaymentSchedule[[#Headers],[BEGINNING BALANCE]])-1)),"")</f>
        <v>115668.79822809584</v>
      </c>
      <c r="E265" s="177">
        <f>IF(PaymentSchedule[[#This Row],[PMT NO]]&lt;&gt;"",ScheduledPayment,"")</f>
        <v>1342.0540575303476</v>
      </c>
      <c r="F26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5" s="177">
        <f>IF(PaymentSchedule[[#This Row],[PMT NO]]&lt;&gt;"",PaymentSchedule[[#This Row],[TOTAL PAYMENT]]-PaymentSchedule[[#This Row],[INTEREST]],"")</f>
        <v>860.10073157994816</v>
      </c>
      <c r="I265" s="177">
        <f>IF(PaymentSchedule[[#This Row],[PMT NO]]&lt;&gt;"",PaymentSchedule[[#This Row],[BEGINNING BALANCE]]*(InterestRate/PaymentsPerYear),"")</f>
        <v>481.95332595039935</v>
      </c>
      <c r="J26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114808.69749651589</v>
      </c>
      <c r="K265" s="177">
        <f>IF(PaymentSchedule[[#This Row],[PMT NO]]&lt;&gt;"",SUM(INDEX(PaymentSchedule[INTEREST],1,1):PaymentSchedule[[#This Row],[INTEREST]]),"")</f>
        <v>205690.42810922401</v>
      </c>
      <c r="L265" s="178"/>
    </row>
    <row r="266" spans="2:12" x14ac:dyDescent="0.2">
      <c r="B266" s="175">
        <f>IF(LoanIsGood,IF(ROW()-ROW(PaymentSchedule[[#Headers],[PMT NO]])&gt;ScheduledNumberOfPayments,"",ROW()-ROW(PaymentSchedule[[#Headers],[PMT NO]])),"")</f>
        <v>255</v>
      </c>
      <c r="C266" s="176">
        <f>IF(PaymentSchedule[[#This Row],[PMT NO]]&lt;&gt;"",EOMONTH(LoanStartDate,ROW(PaymentSchedule[[#This Row],[PMT NO]])-ROW(PaymentSchedule[[#Headers],[PMT NO]])-2)+DAY(LoanStartDate),"")</f>
        <v>52749</v>
      </c>
      <c r="D266" s="177">
        <f>IF(PaymentSchedule[[#This Row],[PMT NO]]&lt;&gt;"",IF(ROW()-ROW(PaymentSchedule[[#Headers],[BEGINNING BALANCE]])=1,LoanAmount,INDEX(PaymentSchedule[ENDING BALANCE],ROW()-ROW(PaymentSchedule[[#Headers],[BEGINNING BALANCE]])-1)),"")</f>
        <v>114808.69749651589</v>
      </c>
      <c r="E266" s="177">
        <f>IF(PaymentSchedule[[#This Row],[PMT NO]]&lt;&gt;"",ScheduledPayment,"")</f>
        <v>1342.0540575303476</v>
      </c>
      <c r="F26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6" s="177">
        <f>IF(PaymentSchedule[[#This Row],[PMT NO]]&lt;&gt;"",PaymentSchedule[[#This Row],[TOTAL PAYMENT]]-PaymentSchedule[[#This Row],[INTEREST]],"")</f>
        <v>863.68448462819811</v>
      </c>
      <c r="I266" s="177">
        <f>IF(PaymentSchedule[[#This Row],[PMT NO]]&lt;&gt;"",PaymentSchedule[[#This Row],[BEGINNING BALANCE]]*(InterestRate/PaymentsPerYear),"")</f>
        <v>478.36957290214951</v>
      </c>
      <c r="J26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113945.01301188768</v>
      </c>
      <c r="K266" s="177">
        <f>IF(PaymentSchedule[[#This Row],[PMT NO]]&lt;&gt;"",SUM(INDEX(PaymentSchedule[INTEREST],1,1):PaymentSchedule[[#This Row],[INTEREST]]),"")</f>
        <v>206168.79768212617</v>
      </c>
      <c r="L266" s="178"/>
    </row>
    <row r="267" spans="2:12" x14ac:dyDescent="0.2">
      <c r="B267" s="175">
        <f>IF(LoanIsGood,IF(ROW()-ROW(PaymentSchedule[[#Headers],[PMT NO]])&gt;ScheduledNumberOfPayments,"",ROW()-ROW(PaymentSchedule[[#Headers],[PMT NO]])),"")</f>
        <v>256</v>
      </c>
      <c r="C267" s="176">
        <f>IF(PaymentSchedule[[#This Row],[PMT NO]]&lt;&gt;"",EOMONTH(LoanStartDate,ROW(PaymentSchedule[[#This Row],[PMT NO]])-ROW(PaymentSchedule[[#Headers],[PMT NO]])-2)+DAY(LoanStartDate),"")</f>
        <v>52779</v>
      </c>
      <c r="D267" s="177">
        <f>IF(PaymentSchedule[[#This Row],[PMT NO]]&lt;&gt;"",IF(ROW()-ROW(PaymentSchedule[[#Headers],[BEGINNING BALANCE]])=1,LoanAmount,INDEX(PaymentSchedule[ENDING BALANCE],ROW()-ROW(PaymentSchedule[[#Headers],[BEGINNING BALANCE]])-1)),"")</f>
        <v>113945.01301188768</v>
      </c>
      <c r="E267" s="177">
        <f>IF(PaymentSchedule[[#This Row],[PMT NO]]&lt;&gt;"",ScheduledPayment,"")</f>
        <v>1342.0540575303476</v>
      </c>
      <c r="F26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7" s="177">
        <f>IF(PaymentSchedule[[#This Row],[PMT NO]]&lt;&gt;"",PaymentSchedule[[#This Row],[TOTAL PAYMENT]]-PaymentSchedule[[#This Row],[INTEREST]],"")</f>
        <v>867.2831699808155</v>
      </c>
      <c r="I267" s="177">
        <f>IF(PaymentSchedule[[#This Row],[PMT NO]]&lt;&gt;"",PaymentSchedule[[#This Row],[BEGINNING BALANCE]]*(InterestRate/PaymentsPerYear),"")</f>
        <v>474.77088754953201</v>
      </c>
      <c r="J26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113077.72984190687</v>
      </c>
      <c r="K267" s="177">
        <f>IF(PaymentSchedule[[#This Row],[PMT NO]]&lt;&gt;"",SUM(INDEX(PaymentSchedule[INTEREST],1,1):PaymentSchedule[[#This Row],[INTEREST]]),"")</f>
        <v>206643.5685696757</v>
      </c>
      <c r="L267" s="178"/>
    </row>
    <row r="268" spans="2:12" x14ac:dyDescent="0.2">
      <c r="B268" s="175">
        <f>IF(LoanIsGood,IF(ROW()-ROW(PaymentSchedule[[#Headers],[PMT NO]])&gt;ScheduledNumberOfPayments,"",ROW()-ROW(PaymentSchedule[[#Headers],[PMT NO]])),"")</f>
        <v>257</v>
      </c>
      <c r="C268" s="176">
        <f>IF(PaymentSchedule[[#This Row],[PMT NO]]&lt;&gt;"",EOMONTH(LoanStartDate,ROW(PaymentSchedule[[#This Row],[PMT NO]])-ROW(PaymentSchedule[[#Headers],[PMT NO]])-2)+DAY(LoanStartDate),"")</f>
        <v>52810</v>
      </c>
      <c r="D268" s="177">
        <f>IF(PaymentSchedule[[#This Row],[PMT NO]]&lt;&gt;"",IF(ROW()-ROW(PaymentSchedule[[#Headers],[BEGINNING BALANCE]])=1,LoanAmount,INDEX(PaymentSchedule[ENDING BALANCE],ROW()-ROW(PaymentSchedule[[#Headers],[BEGINNING BALANCE]])-1)),"")</f>
        <v>113077.72984190687</v>
      </c>
      <c r="E268" s="177">
        <f>IF(PaymentSchedule[[#This Row],[PMT NO]]&lt;&gt;"",ScheduledPayment,"")</f>
        <v>1342.0540575303476</v>
      </c>
      <c r="F26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8" s="177">
        <f>IF(PaymentSchedule[[#This Row],[PMT NO]]&lt;&gt;"",PaymentSchedule[[#This Row],[TOTAL PAYMENT]]-PaymentSchedule[[#This Row],[INTEREST]],"")</f>
        <v>870.89684985573558</v>
      </c>
      <c r="I268" s="177">
        <f>IF(PaymentSchedule[[#This Row],[PMT NO]]&lt;&gt;"",PaymentSchedule[[#This Row],[BEGINNING BALANCE]]*(InterestRate/PaymentsPerYear),"")</f>
        <v>471.15720767461193</v>
      </c>
      <c r="J26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112206.83299205113</v>
      </c>
      <c r="K268" s="177">
        <f>IF(PaymentSchedule[[#This Row],[PMT NO]]&lt;&gt;"",SUM(INDEX(PaymentSchedule[INTEREST],1,1):PaymentSchedule[[#This Row],[INTEREST]]),"")</f>
        <v>207114.72577735031</v>
      </c>
      <c r="L268" s="178"/>
    </row>
    <row r="269" spans="2:12" x14ac:dyDescent="0.2">
      <c r="B269" s="175">
        <f>IF(LoanIsGood,IF(ROW()-ROW(PaymentSchedule[[#Headers],[PMT NO]])&gt;ScheduledNumberOfPayments,"",ROW()-ROW(PaymentSchedule[[#Headers],[PMT NO]])),"")</f>
        <v>258</v>
      </c>
      <c r="C269" s="176">
        <f>IF(PaymentSchedule[[#This Row],[PMT NO]]&lt;&gt;"",EOMONTH(LoanStartDate,ROW(PaymentSchedule[[#This Row],[PMT NO]])-ROW(PaymentSchedule[[#Headers],[PMT NO]])-2)+DAY(LoanStartDate),"")</f>
        <v>52841</v>
      </c>
      <c r="D269" s="177">
        <f>IF(PaymentSchedule[[#This Row],[PMT NO]]&lt;&gt;"",IF(ROW()-ROW(PaymentSchedule[[#Headers],[BEGINNING BALANCE]])=1,LoanAmount,INDEX(PaymentSchedule[ENDING BALANCE],ROW()-ROW(PaymentSchedule[[#Headers],[BEGINNING BALANCE]])-1)),"")</f>
        <v>112206.83299205113</v>
      </c>
      <c r="E269" s="177">
        <f>IF(PaymentSchedule[[#This Row],[PMT NO]]&lt;&gt;"",ScheduledPayment,"")</f>
        <v>1342.0540575303476</v>
      </c>
      <c r="F26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69" s="177">
        <f>IF(PaymentSchedule[[#This Row],[PMT NO]]&lt;&gt;"",PaymentSchedule[[#This Row],[TOTAL PAYMENT]]-PaymentSchedule[[#This Row],[INTEREST]],"")</f>
        <v>874.52558673013459</v>
      </c>
      <c r="I269" s="177">
        <f>IF(PaymentSchedule[[#This Row],[PMT NO]]&lt;&gt;"",PaymentSchedule[[#This Row],[BEGINNING BALANCE]]*(InterestRate/PaymentsPerYear),"")</f>
        <v>467.52847080021303</v>
      </c>
      <c r="J26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111332.307405321</v>
      </c>
      <c r="K269" s="177">
        <f>IF(PaymentSchedule[[#This Row],[PMT NO]]&lt;&gt;"",SUM(INDEX(PaymentSchedule[INTEREST],1,1):PaymentSchedule[[#This Row],[INTEREST]]),"")</f>
        <v>207582.25424815051</v>
      </c>
      <c r="L269" s="178"/>
    </row>
    <row r="270" spans="2:12" x14ac:dyDescent="0.2">
      <c r="B270" s="175">
        <f>IF(LoanIsGood,IF(ROW()-ROW(PaymentSchedule[[#Headers],[PMT NO]])&gt;ScheduledNumberOfPayments,"",ROW()-ROW(PaymentSchedule[[#Headers],[PMT NO]])),"")</f>
        <v>259</v>
      </c>
      <c r="C270" s="176">
        <f>IF(PaymentSchedule[[#This Row],[PMT NO]]&lt;&gt;"",EOMONTH(LoanStartDate,ROW(PaymentSchedule[[#This Row],[PMT NO]])-ROW(PaymentSchedule[[#Headers],[PMT NO]])-2)+DAY(LoanStartDate),"")</f>
        <v>52871</v>
      </c>
      <c r="D270" s="177">
        <f>IF(PaymentSchedule[[#This Row],[PMT NO]]&lt;&gt;"",IF(ROW()-ROW(PaymentSchedule[[#Headers],[BEGINNING BALANCE]])=1,LoanAmount,INDEX(PaymentSchedule[ENDING BALANCE],ROW()-ROW(PaymentSchedule[[#Headers],[BEGINNING BALANCE]])-1)),"")</f>
        <v>111332.307405321</v>
      </c>
      <c r="E270" s="177">
        <f>IF(PaymentSchedule[[#This Row],[PMT NO]]&lt;&gt;"",ScheduledPayment,"")</f>
        <v>1342.0540575303476</v>
      </c>
      <c r="F27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0" s="177">
        <f>IF(PaymentSchedule[[#This Row],[PMT NO]]&lt;&gt;"",PaymentSchedule[[#This Row],[TOTAL PAYMENT]]-PaymentSchedule[[#This Row],[INTEREST]],"")</f>
        <v>878.16944334151003</v>
      </c>
      <c r="I270" s="177">
        <f>IF(PaymentSchedule[[#This Row],[PMT NO]]&lt;&gt;"",PaymentSchedule[[#This Row],[BEGINNING BALANCE]]*(InterestRate/PaymentsPerYear),"")</f>
        <v>463.88461418883747</v>
      </c>
      <c r="J27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110454.13796197949</v>
      </c>
      <c r="K270" s="177">
        <f>IF(PaymentSchedule[[#This Row],[PMT NO]]&lt;&gt;"",SUM(INDEX(PaymentSchedule[INTEREST],1,1):PaymentSchedule[[#This Row],[INTEREST]]),"")</f>
        <v>208046.13886233934</v>
      </c>
      <c r="L270" s="178"/>
    </row>
    <row r="271" spans="2:12" x14ac:dyDescent="0.2">
      <c r="B271" s="175">
        <f>IF(LoanIsGood,IF(ROW()-ROW(PaymentSchedule[[#Headers],[PMT NO]])&gt;ScheduledNumberOfPayments,"",ROW()-ROW(PaymentSchedule[[#Headers],[PMT NO]])),"")</f>
        <v>260</v>
      </c>
      <c r="C271" s="176">
        <f>IF(PaymentSchedule[[#This Row],[PMT NO]]&lt;&gt;"",EOMONTH(LoanStartDate,ROW(PaymentSchedule[[#This Row],[PMT NO]])-ROW(PaymentSchedule[[#Headers],[PMT NO]])-2)+DAY(LoanStartDate),"")</f>
        <v>52902</v>
      </c>
      <c r="D271" s="177">
        <f>IF(PaymentSchedule[[#This Row],[PMT NO]]&lt;&gt;"",IF(ROW()-ROW(PaymentSchedule[[#Headers],[BEGINNING BALANCE]])=1,LoanAmount,INDEX(PaymentSchedule[ENDING BALANCE],ROW()-ROW(PaymentSchedule[[#Headers],[BEGINNING BALANCE]])-1)),"")</f>
        <v>110454.13796197949</v>
      </c>
      <c r="E271" s="177">
        <f>IF(PaymentSchedule[[#This Row],[PMT NO]]&lt;&gt;"",ScheduledPayment,"")</f>
        <v>1342.0540575303476</v>
      </c>
      <c r="F27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1" s="177">
        <f>IF(PaymentSchedule[[#This Row],[PMT NO]]&lt;&gt;"",PaymentSchedule[[#This Row],[TOTAL PAYMENT]]-PaymentSchedule[[#This Row],[INTEREST]],"")</f>
        <v>881.82848268876637</v>
      </c>
      <c r="I271" s="177">
        <f>IF(PaymentSchedule[[#This Row],[PMT NO]]&lt;&gt;"",PaymentSchedule[[#This Row],[BEGINNING BALANCE]]*(InterestRate/PaymentsPerYear),"")</f>
        <v>460.22557484158119</v>
      </c>
      <c r="J27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109572.30947929072</v>
      </c>
      <c r="K271" s="177">
        <f>IF(PaymentSchedule[[#This Row],[PMT NO]]&lt;&gt;"",SUM(INDEX(PaymentSchedule[INTEREST],1,1):PaymentSchedule[[#This Row],[INTEREST]]),"")</f>
        <v>208506.36443718092</v>
      </c>
      <c r="L271" s="178"/>
    </row>
    <row r="272" spans="2:12" x14ac:dyDescent="0.2">
      <c r="B272" s="175">
        <f>IF(LoanIsGood,IF(ROW()-ROW(PaymentSchedule[[#Headers],[PMT NO]])&gt;ScheduledNumberOfPayments,"",ROW()-ROW(PaymentSchedule[[#Headers],[PMT NO]])),"")</f>
        <v>261</v>
      </c>
      <c r="C272" s="176">
        <f>IF(PaymentSchedule[[#This Row],[PMT NO]]&lt;&gt;"",EOMONTH(LoanStartDate,ROW(PaymentSchedule[[#This Row],[PMT NO]])-ROW(PaymentSchedule[[#Headers],[PMT NO]])-2)+DAY(LoanStartDate),"")</f>
        <v>52932</v>
      </c>
      <c r="D272" s="177">
        <f>IF(PaymentSchedule[[#This Row],[PMT NO]]&lt;&gt;"",IF(ROW()-ROW(PaymentSchedule[[#Headers],[BEGINNING BALANCE]])=1,LoanAmount,INDEX(PaymentSchedule[ENDING BALANCE],ROW()-ROW(PaymentSchedule[[#Headers],[BEGINNING BALANCE]])-1)),"")</f>
        <v>109572.30947929072</v>
      </c>
      <c r="E272" s="177">
        <f>IF(PaymentSchedule[[#This Row],[PMT NO]]&lt;&gt;"",ScheduledPayment,"")</f>
        <v>1342.0540575303476</v>
      </c>
      <c r="F27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2" s="177">
        <f>IF(PaymentSchedule[[#This Row],[PMT NO]]&lt;&gt;"",PaymentSchedule[[#This Row],[TOTAL PAYMENT]]-PaymentSchedule[[#This Row],[INTEREST]],"")</f>
        <v>885.50276803330291</v>
      </c>
      <c r="I272" s="177">
        <f>IF(PaymentSchedule[[#This Row],[PMT NO]]&lt;&gt;"",PaymentSchedule[[#This Row],[BEGINNING BALANCE]]*(InterestRate/PaymentsPerYear),"")</f>
        <v>456.55128949704465</v>
      </c>
      <c r="J27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108686.80671125742</v>
      </c>
      <c r="K272" s="177">
        <f>IF(PaymentSchedule[[#This Row],[PMT NO]]&lt;&gt;"",SUM(INDEX(PaymentSchedule[INTEREST],1,1):PaymentSchedule[[#This Row],[INTEREST]]),"")</f>
        <v>208962.91572667795</v>
      </c>
      <c r="L272" s="178"/>
    </row>
    <row r="273" spans="2:12" x14ac:dyDescent="0.2">
      <c r="B273" s="175">
        <f>IF(LoanIsGood,IF(ROW()-ROW(PaymentSchedule[[#Headers],[PMT NO]])&gt;ScheduledNumberOfPayments,"",ROW()-ROW(PaymentSchedule[[#Headers],[PMT NO]])),"")</f>
        <v>262</v>
      </c>
      <c r="C273" s="176">
        <f>IF(PaymentSchedule[[#This Row],[PMT NO]]&lt;&gt;"",EOMONTH(LoanStartDate,ROW(PaymentSchedule[[#This Row],[PMT NO]])-ROW(PaymentSchedule[[#Headers],[PMT NO]])-2)+DAY(LoanStartDate),"")</f>
        <v>52963</v>
      </c>
      <c r="D273" s="177">
        <f>IF(PaymentSchedule[[#This Row],[PMT NO]]&lt;&gt;"",IF(ROW()-ROW(PaymentSchedule[[#Headers],[BEGINNING BALANCE]])=1,LoanAmount,INDEX(PaymentSchedule[ENDING BALANCE],ROW()-ROW(PaymentSchedule[[#Headers],[BEGINNING BALANCE]])-1)),"")</f>
        <v>108686.80671125742</v>
      </c>
      <c r="E273" s="177">
        <f>IF(PaymentSchedule[[#This Row],[PMT NO]]&lt;&gt;"",ScheduledPayment,"")</f>
        <v>1342.0540575303476</v>
      </c>
      <c r="F27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3" s="177">
        <f>IF(PaymentSchedule[[#This Row],[PMT NO]]&lt;&gt;"",PaymentSchedule[[#This Row],[TOTAL PAYMENT]]-PaymentSchedule[[#This Row],[INTEREST]],"")</f>
        <v>889.19236290010826</v>
      </c>
      <c r="I273" s="177">
        <f>IF(PaymentSchedule[[#This Row],[PMT NO]]&lt;&gt;"",PaymentSchedule[[#This Row],[BEGINNING BALANCE]]*(InterestRate/PaymentsPerYear),"")</f>
        <v>452.86169463023924</v>
      </c>
      <c r="J27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107797.61434835731</v>
      </c>
      <c r="K273" s="177">
        <f>IF(PaymentSchedule[[#This Row],[PMT NO]]&lt;&gt;"",SUM(INDEX(PaymentSchedule[INTEREST],1,1):PaymentSchedule[[#This Row],[INTEREST]]),"")</f>
        <v>209415.77742130819</v>
      </c>
      <c r="L273" s="178"/>
    </row>
    <row r="274" spans="2:12" x14ac:dyDescent="0.2">
      <c r="B274" s="175">
        <f>IF(LoanIsGood,IF(ROW()-ROW(PaymentSchedule[[#Headers],[PMT NO]])&gt;ScheduledNumberOfPayments,"",ROW()-ROW(PaymentSchedule[[#Headers],[PMT NO]])),"")</f>
        <v>263</v>
      </c>
      <c r="C274" s="176">
        <f>IF(PaymentSchedule[[#This Row],[PMT NO]]&lt;&gt;"",EOMONTH(LoanStartDate,ROW(PaymentSchedule[[#This Row],[PMT NO]])-ROW(PaymentSchedule[[#Headers],[PMT NO]])-2)+DAY(LoanStartDate),"")</f>
        <v>52994</v>
      </c>
      <c r="D274" s="177">
        <f>IF(PaymentSchedule[[#This Row],[PMT NO]]&lt;&gt;"",IF(ROW()-ROW(PaymentSchedule[[#Headers],[BEGINNING BALANCE]])=1,LoanAmount,INDEX(PaymentSchedule[ENDING BALANCE],ROW()-ROW(PaymentSchedule[[#Headers],[BEGINNING BALANCE]])-1)),"")</f>
        <v>107797.61434835731</v>
      </c>
      <c r="E274" s="177">
        <f>IF(PaymentSchedule[[#This Row],[PMT NO]]&lt;&gt;"",ScheduledPayment,"")</f>
        <v>1342.0540575303476</v>
      </c>
      <c r="F27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4" s="177">
        <f>IF(PaymentSchedule[[#This Row],[PMT NO]]&lt;&gt;"",PaymentSchedule[[#This Row],[TOTAL PAYMENT]]-PaymentSchedule[[#This Row],[INTEREST]],"")</f>
        <v>892.89733107885877</v>
      </c>
      <c r="I274" s="177">
        <f>IF(PaymentSchedule[[#This Row],[PMT NO]]&lt;&gt;"",PaymentSchedule[[#This Row],[BEGINNING BALANCE]]*(InterestRate/PaymentsPerYear),"")</f>
        <v>449.15672645148879</v>
      </c>
      <c r="J27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106904.71701727845</v>
      </c>
      <c r="K274" s="177">
        <f>IF(PaymentSchedule[[#This Row],[PMT NO]]&lt;&gt;"",SUM(INDEX(PaymentSchedule[INTEREST],1,1):PaymentSchedule[[#This Row],[INTEREST]]),"")</f>
        <v>209864.93414775969</v>
      </c>
      <c r="L274" s="178"/>
    </row>
    <row r="275" spans="2:12" x14ac:dyDescent="0.2">
      <c r="B275" s="175">
        <f>IF(LoanIsGood,IF(ROW()-ROW(PaymentSchedule[[#Headers],[PMT NO]])&gt;ScheduledNumberOfPayments,"",ROW()-ROW(PaymentSchedule[[#Headers],[PMT NO]])),"")</f>
        <v>264</v>
      </c>
      <c r="C275" s="176">
        <f>IF(PaymentSchedule[[#This Row],[PMT NO]]&lt;&gt;"",EOMONTH(LoanStartDate,ROW(PaymentSchedule[[#This Row],[PMT NO]])-ROW(PaymentSchedule[[#Headers],[PMT NO]])-2)+DAY(LoanStartDate),"")</f>
        <v>53022</v>
      </c>
      <c r="D275" s="177">
        <f>IF(PaymentSchedule[[#This Row],[PMT NO]]&lt;&gt;"",IF(ROW()-ROW(PaymentSchedule[[#Headers],[BEGINNING BALANCE]])=1,LoanAmount,INDEX(PaymentSchedule[ENDING BALANCE],ROW()-ROW(PaymentSchedule[[#Headers],[BEGINNING BALANCE]])-1)),"")</f>
        <v>106904.71701727845</v>
      </c>
      <c r="E275" s="177">
        <f>IF(PaymentSchedule[[#This Row],[PMT NO]]&lt;&gt;"",ScheduledPayment,"")</f>
        <v>1342.0540575303476</v>
      </c>
      <c r="F27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5" s="177">
        <f>IF(PaymentSchedule[[#This Row],[PMT NO]]&lt;&gt;"",PaymentSchedule[[#This Row],[TOTAL PAYMENT]]-PaymentSchedule[[#This Row],[INTEREST]],"")</f>
        <v>896.6177366250206</v>
      </c>
      <c r="I275" s="177">
        <f>IF(PaymentSchedule[[#This Row],[PMT NO]]&lt;&gt;"",PaymentSchedule[[#This Row],[BEGINNING BALANCE]]*(InterestRate/PaymentsPerYear),"")</f>
        <v>445.43632090532691</v>
      </c>
      <c r="J27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106008.09928065343</v>
      </c>
      <c r="K275" s="177">
        <f>IF(PaymentSchedule[[#This Row],[PMT NO]]&lt;&gt;"",SUM(INDEX(PaymentSchedule[INTEREST],1,1):PaymentSchedule[[#This Row],[INTEREST]]),"")</f>
        <v>210310.37046866503</v>
      </c>
      <c r="L275" s="178"/>
    </row>
    <row r="276" spans="2:12" x14ac:dyDescent="0.2">
      <c r="B276" s="175">
        <f>IF(LoanIsGood,IF(ROW()-ROW(PaymentSchedule[[#Headers],[PMT NO]])&gt;ScheduledNumberOfPayments,"",ROW()-ROW(PaymentSchedule[[#Headers],[PMT NO]])),"")</f>
        <v>265</v>
      </c>
      <c r="C276" s="176">
        <f>IF(PaymentSchedule[[#This Row],[PMT NO]]&lt;&gt;"",EOMONTH(LoanStartDate,ROW(PaymentSchedule[[#This Row],[PMT NO]])-ROW(PaymentSchedule[[#Headers],[PMT NO]])-2)+DAY(LoanStartDate),"")</f>
        <v>53053</v>
      </c>
      <c r="D276" s="177">
        <f>IF(PaymentSchedule[[#This Row],[PMT NO]]&lt;&gt;"",IF(ROW()-ROW(PaymentSchedule[[#Headers],[BEGINNING BALANCE]])=1,LoanAmount,INDEX(PaymentSchedule[ENDING BALANCE],ROW()-ROW(PaymentSchedule[[#Headers],[BEGINNING BALANCE]])-1)),"")</f>
        <v>106008.09928065343</v>
      </c>
      <c r="E276" s="177">
        <f>IF(PaymentSchedule[[#This Row],[PMT NO]]&lt;&gt;"",ScheduledPayment,"")</f>
        <v>1342.0540575303476</v>
      </c>
      <c r="F27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6" s="177">
        <f>IF(PaymentSchedule[[#This Row],[PMT NO]]&lt;&gt;"",PaymentSchedule[[#This Row],[TOTAL PAYMENT]]-PaymentSchedule[[#This Row],[INTEREST]],"")</f>
        <v>900.3536438609583</v>
      </c>
      <c r="I276" s="177">
        <f>IF(PaymentSchedule[[#This Row],[PMT NO]]&lt;&gt;"",PaymentSchedule[[#This Row],[BEGINNING BALANCE]]*(InterestRate/PaymentsPerYear),"")</f>
        <v>441.70041366938932</v>
      </c>
      <c r="J27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105107.74563679248</v>
      </c>
      <c r="K276" s="177">
        <f>IF(PaymentSchedule[[#This Row],[PMT NO]]&lt;&gt;"",SUM(INDEX(PaymentSchedule[INTEREST],1,1):PaymentSchedule[[#This Row],[INTEREST]]),"")</f>
        <v>210752.07088233443</v>
      </c>
      <c r="L276" s="178"/>
    </row>
    <row r="277" spans="2:12" x14ac:dyDescent="0.2">
      <c r="B277" s="175">
        <f>IF(LoanIsGood,IF(ROW()-ROW(PaymentSchedule[[#Headers],[PMT NO]])&gt;ScheduledNumberOfPayments,"",ROW()-ROW(PaymentSchedule[[#Headers],[PMT NO]])),"")</f>
        <v>266</v>
      </c>
      <c r="C277" s="176">
        <f>IF(PaymentSchedule[[#This Row],[PMT NO]]&lt;&gt;"",EOMONTH(LoanStartDate,ROW(PaymentSchedule[[#This Row],[PMT NO]])-ROW(PaymentSchedule[[#Headers],[PMT NO]])-2)+DAY(LoanStartDate),"")</f>
        <v>53083</v>
      </c>
      <c r="D277" s="177">
        <f>IF(PaymentSchedule[[#This Row],[PMT NO]]&lt;&gt;"",IF(ROW()-ROW(PaymentSchedule[[#Headers],[BEGINNING BALANCE]])=1,LoanAmount,INDEX(PaymentSchedule[ENDING BALANCE],ROW()-ROW(PaymentSchedule[[#Headers],[BEGINNING BALANCE]])-1)),"")</f>
        <v>105107.74563679248</v>
      </c>
      <c r="E277" s="177">
        <f>IF(PaymentSchedule[[#This Row],[PMT NO]]&lt;&gt;"",ScheduledPayment,"")</f>
        <v>1342.0540575303476</v>
      </c>
      <c r="F27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7" s="177">
        <f>IF(PaymentSchedule[[#This Row],[PMT NO]]&lt;&gt;"",PaymentSchedule[[#This Row],[TOTAL PAYMENT]]-PaymentSchedule[[#This Row],[INTEREST]],"")</f>
        <v>904.10511737704564</v>
      </c>
      <c r="I277" s="177">
        <f>IF(PaymentSchedule[[#This Row],[PMT NO]]&lt;&gt;"",PaymentSchedule[[#This Row],[BEGINNING BALANCE]]*(InterestRate/PaymentsPerYear),"")</f>
        <v>437.94894015330198</v>
      </c>
      <c r="J27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104203.64051941544</v>
      </c>
      <c r="K277" s="177">
        <f>IF(PaymentSchedule[[#This Row],[PMT NO]]&lt;&gt;"",SUM(INDEX(PaymentSchedule[INTEREST],1,1):PaymentSchedule[[#This Row],[INTEREST]]),"")</f>
        <v>211190.01982248772</v>
      </c>
      <c r="L277" s="178"/>
    </row>
    <row r="278" spans="2:12" x14ac:dyDescent="0.2">
      <c r="B278" s="175">
        <f>IF(LoanIsGood,IF(ROW()-ROW(PaymentSchedule[[#Headers],[PMT NO]])&gt;ScheduledNumberOfPayments,"",ROW()-ROW(PaymentSchedule[[#Headers],[PMT NO]])),"")</f>
        <v>267</v>
      </c>
      <c r="C278" s="176">
        <f>IF(PaymentSchedule[[#This Row],[PMT NO]]&lt;&gt;"",EOMONTH(LoanStartDate,ROW(PaymentSchedule[[#This Row],[PMT NO]])-ROW(PaymentSchedule[[#Headers],[PMT NO]])-2)+DAY(LoanStartDate),"")</f>
        <v>53114</v>
      </c>
      <c r="D278" s="177">
        <f>IF(PaymentSchedule[[#This Row],[PMT NO]]&lt;&gt;"",IF(ROW()-ROW(PaymentSchedule[[#Headers],[BEGINNING BALANCE]])=1,LoanAmount,INDEX(PaymentSchedule[ENDING BALANCE],ROW()-ROW(PaymentSchedule[[#Headers],[BEGINNING BALANCE]])-1)),"")</f>
        <v>104203.64051941544</v>
      </c>
      <c r="E278" s="177">
        <f>IF(PaymentSchedule[[#This Row],[PMT NO]]&lt;&gt;"",ScheduledPayment,"")</f>
        <v>1342.0540575303476</v>
      </c>
      <c r="F27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8" s="177">
        <f>IF(PaymentSchedule[[#This Row],[PMT NO]]&lt;&gt;"",PaymentSchedule[[#This Row],[TOTAL PAYMENT]]-PaymentSchedule[[#This Row],[INTEREST]],"")</f>
        <v>907.87222203278327</v>
      </c>
      <c r="I278" s="177">
        <f>IF(PaymentSchedule[[#This Row],[PMT NO]]&lt;&gt;"",PaymentSchedule[[#This Row],[BEGINNING BALANCE]]*(InterestRate/PaymentsPerYear),"")</f>
        <v>434.18183549756429</v>
      </c>
      <c r="J27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103295.76829738266</v>
      </c>
      <c r="K278" s="177">
        <f>IF(PaymentSchedule[[#This Row],[PMT NO]]&lt;&gt;"",SUM(INDEX(PaymentSchedule[INTEREST],1,1):PaymentSchedule[[#This Row],[INTEREST]]),"")</f>
        <v>211624.20165798528</v>
      </c>
      <c r="L278" s="178"/>
    </row>
    <row r="279" spans="2:12" x14ac:dyDescent="0.2">
      <c r="B279" s="175">
        <f>IF(LoanIsGood,IF(ROW()-ROW(PaymentSchedule[[#Headers],[PMT NO]])&gt;ScheduledNumberOfPayments,"",ROW()-ROW(PaymentSchedule[[#Headers],[PMT NO]])),"")</f>
        <v>268</v>
      </c>
      <c r="C279" s="176">
        <f>IF(PaymentSchedule[[#This Row],[PMT NO]]&lt;&gt;"",EOMONTH(LoanStartDate,ROW(PaymentSchedule[[#This Row],[PMT NO]])-ROW(PaymentSchedule[[#Headers],[PMT NO]])-2)+DAY(LoanStartDate),"")</f>
        <v>53144</v>
      </c>
      <c r="D279" s="177">
        <f>IF(PaymentSchedule[[#This Row],[PMT NO]]&lt;&gt;"",IF(ROW()-ROW(PaymentSchedule[[#Headers],[BEGINNING BALANCE]])=1,LoanAmount,INDEX(PaymentSchedule[ENDING BALANCE],ROW()-ROW(PaymentSchedule[[#Headers],[BEGINNING BALANCE]])-1)),"")</f>
        <v>103295.76829738266</v>
      </c>
      <c r="E279" s="177">
        <f>IF(PaymentSchedule[[#This Row],[PMT NO]]&lt;&gt;"",ScheduledPayment,"")</f>
        <v>1342.0540575303476</v>
      </c>
      <c r="F27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79" s="177">
        <f>IF(PaymentSchedule[[#This Row],[PMT NO]]&lt;&gt;"",PaymentSchedule[[#This Row],[TOTAL PAYMENT]]-PaymentSchedule[[#This Row],[INTEREST]],"")</f>
        <v>911.65502295791975</v>
      </c>
      <c r="I279" s="177">
        <f>IF(PaymentSchedule[[#This Row],[PMT NO]]&lt;&gt;"",PaymentSchedule[[#This Row],[BEGINNING BALANCE]]*(InterestRate/PaymentsPerYear),"")</f>
        <v>430.39903457242775</v>
      </c>
      <c r="J27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102384.11327442474</v>
      </c>
      <c r="K279" s="177">
        <f>IF(PaymentSchedule[[#This Row],[PMT NO]]&lt;&gt;"",SUM(INDEX(PaymentSchedule[INTEREST],1,1):PaymentSchedule[[#This Row],[INTEREST]]),"")</f>
        <v>212054.60069255769</v>
      </c>
      <c r="L279" s="178"/>
    </row>
    <row r="280" spans="2:12" x14ac:dyDescent="0.2">
      <c r="B280" s="175">
        <f>IF(LoanIsGood,IF(ROW()-ROW(PaymentSchedule[[#Headers],[PMT NO]])&gt;ScheduledNumberOfPayments,"",ROW()-ROW(PaymentSchedule[[#Headers],[PMT NO]])),"")</f>
        <v>269</v>
      </c>
      <c r="C280" s="176">
        <f>IF(PaymentSchedule[[#This Row],[PMT NO]]&lt;&gt;"",EOMONTH(LoanStartDate,ROW(PaymentSchedule[[#This Row],[PMT NO]])-ROW(PaymentSchedule[[#Headers],[PMT NO]])-2)+DAY(LoanStartDate),"")</f>
        <v>53175</v>
      </c>
      <c r="D280" s="177">
        <f>IF(PaymentSchedule[[#This Row],[PMT NO]]&lt;&gt;"",IF(ROW()-ROW(PaymentSchedule[[#Headers],[BEGINNING BALANCE]])=1,LoanAmount,INDEX(PaymentSchedule[ENDING BALANCE],ROW()-ROW(PaymentSchedule[[#Headers],[BEGINNING BALANCE]])-1)),"")</f>
        <v>102384.11327442474</v>
      </c>
      <c r="E280" s="177">
        <f>IF(PaymentSchedule[[#This Row],[PMT NO]]&lt;&gt;"",ScheduledPayment,"")</f>
        <v>1342.0540575303476</v>
      </c>
      <c r="F28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0" s="177">
        <f>IF(PaymentSchedule[[#This Row],[PMT NO]]&lt;&gt;"",PaymentSchedule[[#This Row],[TOTAL PAYMENT]]-PaymentSchedule[[#This Row],[INTEREST]],"")</f>
        <v>915.4535855535778</v>
      </c>
      <c r="I280" s="177">
        <f>IF(PaymentSchedule[[#This Row],[PMT NO]]&lt;&gt;"",PaymentSchedule[[#This Row],[BEGINNING BALANCE]]*(InterestRate/PaymentsPerYear),"")</f>
        <v>426.60047197676977</v>
      </c>
      <c r="J28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101468.65968887116</v>
      </c>
      <c r="K280" s="177">
        <f>IF(PaymentSchedule[[#This Row],[PMT NO]]&lt;&gt;"",SUM(INDEX(PaymentSchedule[INTEREST],1,1):PaymentSchedule[[#This Row],[INTEREST]]),"")</f>
        <v>212481.20116453446</v>
      </c>
      <c r="L280" s="178"/>
    </row>
    <row r="281" spans="2:12" x14ac:dyDescent="0.2">
      <c r="B281" s="175">
        <f>IF(LoanIsGood,IF(ROW()-ROW(PaymentSchedule[[#Headers],[PMT NO]])&gt;ScheduledNumberOfPayments,"",ROW()-ROW(PaymentSchedule[[#Headers],[PMT NO]])),"")</f>
        <v>270</v>
      </c>
      <c r="C281" s="176">
        <f>IF(PaymentSchedule[[#This Row],[PMT NO]]&lt;&gt;"",EOMONTH(LoanStartDate,ROW(PaymentSchedule[[#This Row],[PMT NO]])-ROW(PaymentSchedule[[#Headers],[PMT NO]])-2)+DAY(LoanStartDate),"")</f>
        <v>53206</v>
      </c>
      <c r="D281" s="177">
        <f>IF(PaymentSchedule[[#This Row],[PMT NO]]&lt;&gt;"",IF(ROW()-ROW(PaymentSchedule[[#Headers],[BEGINNING BALANCE]])=1,LoanAmount,INDEX(PaymentSchedule[ENDING BALANCE],ROW()-ROW(PaymentSchedule[[#Headers],[BEGINNING BALANCE]])-1)),"")</f>
        <v>101468.65968887116</v>
      </c>
      <c r="E281" s="177">
        <f>IF(PaymentSchedule[[#This Row],[PMT NO]]&lt;&gt;"",ScheduledPayment,"")</f>
        <v>1342.0540575303476</v>
      </c>
      <c r="F28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1" s="177">
        <f>IF(PaymentSchedule[[#This Row],[PMT NO]]&lt;&gt;"",PaymentSchedule[[#This Row],[TOTAL PAYMENT]]-PaymentSchedule[[#This Row],[INTEREST]],"")</f>
        <v>919.26797549338437</v>
      </c>
      <c r="I281" s="177">
        <f>IF(PaymentSchedule[[#This Row],[PMT NO]]&lt;&gt;"",PaymentSchedule[[#This Row],[BEGINNING BALANCE]]*(InterestRate/PaymentsPerYear),"")</f>
        <v>422.78608203696319</v>
      </c>
      <c r="J28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100549.39171337779</v>
      </c>
      <c r="K281" s="177">
        <f>IF(PaymentSchedule[[#This Row],[PMT NO]]&lt;&gt;"",SUM(INDEX(PaymentSchedule[INTEREST],1,1):PaymentSchedule[[#This Row],[INTEREST]]),"")</f>
        <v>212903.98724657143</v>
      </c>
      <c r="L281" s="178"/>
    </row>
    <row r="282" spans="2:12" x14ac:dyDescent="0.2">
      <c r="B282" s="175">
        <f>IF(LoanIsGood,IF(ROW()-ROW(PaymentSchedule[[#Headers],[PMT NO]])&gt;ScheduledNumberOfPayments,"",ROW()-ROW(PaymentSchedule[[#Headers],[PMT NO]])),"")</f>
        <v>271</v>
      </c>
      <c r="C282" s="176">
        <f>IF(PaymentSchedule[[#This Row],[PMT NO]]&lt;&gt;"",EOMONTH(LoanStartDate,ROW(PaymentSchedule[[#This Row],[PMT NO]])-ROW(PaymentSchedule[[#Headers],[PMT NO]])-2)+DAY(LoanStartDate),"")</f>
        <v>53236</v>
      </c>
      <c r="D282" s="177">
        <f>IF(PaymentSchedule[[#This Row],[PMT NO]]&lt;&gt;"",IF(ROW()-ROW(PaymentSchedule[[#Headers],[BEGINNING BALANCE]])=1,LoanAmount,INDEX(PaymentSchedule[ENDING BALANCE],ROW()-ROW(PaymentSchedule[[#Headers],[BEGINNING BALANCE]])-1)),"")</f>
        <v>100549.39171337779</v>
      </c>
      <c r="E282" s="177">
        <f>IF(PaymentSchedule[[#This Row],[PMT NO]]&lt;&gt;"",ScheduledPayment,"")</f>
        <v>1342.0540575303476</v>
      </c>
      <c r="F28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2" s="177">
        <f>IF(PaymentSchedule[[#This Row],[PMT NO]]&lt;&gt;"",PaymentSchedule[[#This Row],[TOTAL PAYMENT]]-PaymentSchedule[[#This Row],[INTEREST]],"")</f>
        <v>923.09825872460681</v>
      </c>
      <c r="I282" s="177">
        <f>IF(PaymentSchedule[[#This Row],[PMT NO]]&lt;&gt;"",PaymentSchedule[[#This Row],[BEGINNING BALANCE]]*(InterestRate/PaymentsPerYear),"")</f>
        <v>418.95579880574076</v>
      </c>
      <c r="J28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99626.293454653176</v>
      </c>
      <c r="K282" s="177">
        <f>IF(PaymentSchedule[[#This Row],[PMT NO]]&lt;&gt;"",SUM(INDEX(PaymentSchedule[INTEREST],1,1):PaymentSchedule[[#This Row],[INTEREST]]),"")</f>
        <v>213322.94304537718</v>
      </c>
      <c r="L282" s="178"/>
    </row>
    <row r="283" spans="2:12" x14ac:dyDescent="0.2">
      <c r="B283" s="175">
        <f>IF(LoanIsGood,IF(ROW()-ROW(PaymentSchedule[[#Headers],[PMT NO]])&gt;ScheduledNumberOfPayments,"",ROW()-ROW(PaymentSchedule[[#Headers],[PMT NO]])),"")</f>
        <v>272</v>
      </c>
      <c r="C283" s="176">
        <f>IF(PaymentSchedule[[#This Row],[PMT NO]]&lt;&gt;"",EOMONTH(LoanStartDate,ROW(PaymentSchedule[[#This Row],[PMT NO]])-ROW(PaymentSchedule[[#Headers],[PMT NO]])-2)+DAY(LoanStartDate),"")</f>
        <v>53267</v>
      </c>
      <c r="D283" s="177">
        <f>IF(PaymentSchedule[[#This Row],[PMT NO]]&lt;&gt;"",IF(ROW()-ROW(PaymentSchedule[[#Headers],[BEGINNING BALANCE]])=1,LoanAmount,INDEX(PaymentSchedule[ENDING BALANCE],ROW()-ROW(PaymentSchedule[[#Headers],[BEGINNING BALANCE]])-1)),"")</f>
        <v>99626.293454653176</v>
      </c>
      <c r="E283" s="177">
        <f>IF(PaymentSchedule[[#This Row],[PMT NO]]&lt;&gt;"",ScheduledPayment,"")</f>
        <v>1342.0540575303476</v>
      </c>
      <c r="F28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3" s="177">
        <f>IF(PaymentSchedule[[#This Row],[PMT NO]]&lt;&gt;"",PaymentSchedule[[#This Row],[TOTAL PAYMENT]]-PaymentSchedule[[#This Row],[INTEREST]],"")</f>
        <v>926.94450146929262</v>
      </c>
      <c r="I283" s="177">
        <f>IF(PaymentSchedule[[#This Row],[PMT NO]]&lt;&gt;"",PaymentSchedule[[#This Row],[BEGINNING BALANCE]]*(InterestRate/PaymentsPerYear),"")</f>
        <v>415.10955606105489</v>
      </c>
      <c r="J28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98699.348953183886</v>
      </c>
      <c r="K283" s="177">
        <f>IF(PaymentSchedule[[#This Row],[PMT NO]]&lt;&gt;"",SUM(INDEX(PaymentSchedule[INTEREST],1,1):PaymentSchedule[[#This Row],[INTEREST]]),"")</f>
        <v>213738.05260143822</v>
      </c>
      <c r="L283" s="178"/>
    </row>
    <row r="284" spans="2:12" x14ac:dyDescent="0.2">
      <c r="B284" s="175">
        <f>IF(LoanIsGood,IF(ROW()-ROW(PaymentSchedule[[#Headers],[PMT NO]])&gt;ScheduledNumberOfPayments,"",ROW()-ROW(PaymentSchedule[[#Headers],[PMT NO]])),"")</f>
        <v>273</v>
      </c>
      <c r="C284" s="176">
        <f>IF(PaymentSchedule[[#This Row],[PMT NO]]&lt;&gt;"",EOMONTH(LoanStartDate,ROW(PaymentSchedule[[#This Row],[PMT NO]])-ROW(PaymentSchedule[[#Headers],[PMT NO]])-2)+DAY(LoanStartDate),"")</f>
        <v>53297</v>
      </c>
      <c r="D284" s="177">
        <f>IF(PaymentSchedule[[#This Row],[PMT NO]]&lt;&gt;"",IF(ROW()-ROW(PaymentSchedule[[#Headers],[BEGINNING BALANCE]])=1,LoanAmount,INDEX(PaymentSchedule[ENDING BALANCE],ROW()-ROW(PaymentSchedule[[#Headers],[BEGINNING BALANCE]])-1)),"")</f>
        <v>98699.348953183886</v>
      </c>
      <c r="E284" s="177">
        <f>IF(PaymentSchedule[[#This Row],[PMT NO]]&lt;&gt;"",ScheduledPayment,"")</f>
        <v>1342.0540575303476</v>
      </c>
      <c r="F28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4" s="177">
        <f>IF(PaymentSchedule[[#This Row],[PMT NO]]&lt;&gt;"",PaymentSchedule[[#This Row],[TOTAL PAYMENT]]-PaymentSchedule[[#This Row],[INTEREST]],"")</f>
        <v>930.80677022541477</v>
      </c>
      <c r="I284" s="177">
        <f>IF(PaymentSchedule[[#This Row],[PMT NO]]&lt;&gt;"",PaymentSchedule[[#This Row],[BEGINNING BALANCE]]*(InterestRate/PaymentsPerYear),"")</f>
        <v>411.24728730493285</v>
      </c>
      <c r="J28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97768.542182958467</v>
      </c>
      <c r="K284" s="177">
        <f>IF(PaymentSchedule[[#This Row],[PMT NO]]&lt;&gt;"",SUM(INDEX(PaymentSchedule[INTEREST],1,1):PaymentSchedule[[#This Row],[INTEREST]]),"")</f>
        <v>214149.29988874315</v>
      </c>
      <c r="L284" s="178"/>
    </row>
    <row r="285" spans="2:12" x14ac:dyDescent="0.2">
      <c r="B285" s="175">
        <f>IF(LoanIsGood,IF(ROW()-ROW(PaymentSchedule[[#Headers],[PMT NO]])&gt;ScheduledNumberOfPayments,"",ROW()-ROW(PaymentSchedule[[#Headers],[PMT NO]])),"")</f>
        <v>274</v>
      </c>
      <c r="C285" s="176">
        <f>IF(PaymentSchedule[[#This Row],[PMT NO]]&lt;&gt;"",EOMONTH(LoanStartDate,ROW(PaymentSchedule[[#This Row],[PMT NO]])-ROW(PaymentSchedule[[#Headers],[PMT NO]])-2)+DAY(LoanStartDate),"")</f>
        <v>53328</v>
      </c>
      <c r="D285" s="177">
        <f>IF(PaymentSchedule[[#This Row],[PMT NO]]&lt;&gt;"",IF(ROW()-ROW(PaymentSchedule[[#Headers],[BEGINNING BALANCE]])=1,LoanAmount,INDEX(PaymentSchedule[ENDING BALANCE],ROW()-ROW(PaymentSchedule[[#Headers],[BEGINNING BALANCE]])-1)),"")</f>
        <v>97768.542182958467</v>
      </c>
      <c r="E285" s="177">
        <f>IF(PaymentSchedule[[#This Row],[PMT NO]]&lt;&gt;"",ScheduledPayment,"")</f>
        <v>1342.0540575303476</v>
      </c>
      <c r="F28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5" s="177">
        <f>IF(PaymentSchedule[[#This Row],[PMT NO]]&lt;&gt;"",PaymentSchedule[[#This Row],[TOTAL PAYMENT]]-PaymentSchedule[[#This Row],[INTEREST]],"")</f>
        <v>934.6851317680206</v>
      </c>
      <c r="I285" s="177">
        <f>IF(PaymentSchedule[[#This Row],[PMT NO]]&lt;&gt;"",PaymentSchedule[[#This Row],[BEGINNING BALANCE]]*(InterestRate/PaymentsPerYear),"")</f>
        <v>407.36892576232697</v>
      </c>
      <c r="J28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96833.85705119044</v>
      </c>
      <c r="K285" s="177">
        <f>IF(PaymentSchedule[[#This Row],[PMT NO]]&lt;&gt;"",SUM(INDEX(PaymentSchedule[INTEREST],1,1):PaymentSchedule[[#This Row],[INTEREST]]),"")</f>
        <v>214556.66881450548</v>
      </c>
      <c r="L285" s="178"/>
    </row>
    <row r="286" spans="2:12" x14ac:dyDescent="0.2">
      <c r="B286" s="175">
        <f>IF(LoanIsGood,IF(ROW()-ROW(PaymentSchedule[[#Headers],[PMT NO]])&gt;ScheduledNumberOfPayments,"",ROW()-ROW(PaymentSchedule[[#Headers],[PMT NO]])),"")</f>
        <v>275</v>
      </c>
      <c r="C286" s="176">
        <f>IF(PaymentSchedule[[#This Row],[PMT NO]]&lt;&gt;"",EOMONTH(LoanStartDate,ROW(PaymentSchedule[[#This Row],[PMT NO]])-ROW(PaymentSchedule[[#Headers],[PMT NO]])-2)+DAY(LoanStartDate),"")</f>
        <v>53359</v>
      </c>
      <c r="D286" s="177">
        <f>IF(PaymentSchedule[[#This Row],[PMT NO]]&lt;&gt;"",IF(ROW()-ROW(PaymentSchedule[[#Headers],[BEGINNING BALANCE]])=1,LoanAmount,INDEX(PaymentSchedule[ENDING BALANCE],ROW()-ROW(PaymentSchedule[[#Headers],[BEGINNING BALANCE]])-1)),"")</f>
        <v>96833.85705119044</v>
      </c>
      <c r="E286" s="177">
        <f>IF(PaymentSchedule[[#This Row],[PMT NO]]&lt;&gt;"",ScheduledPayment,"")</f>
        <v>1342.0540575303476</v>
      </c>
      <c r="F28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6" s="177">
        <f>IF(PaymentSchedule[[#This Row],[PMT NO]]&lt;&gt;"",PaymentSchedule[[#This Row],[TOTAL PAYMENT]]-PaymentSchedule[[#This Row],[INTEREST]],"")</f>
        <v>938.57965315038746</v>
      </c>
      <c r="I286" s="177">
        <f>IF(PaymentSchedule[[#This Row],[PMT NO]]&lt;&gt;"",PaymentSchedule[[#This Row],[BEGINNING BALANCE]]*(InterestRate/PaymentsPerYear),"")</f>
        <v>403.47440437996016</v>
      </c>
      <c r="J28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95895.277398040053</v>
      </c>
      <c r="K286" s="177">
        <f>IF(PaymentSchedule[[#This Row],[PMT NO]]&lt;&gt;"",SUM(INDEX(PaymentSchedule[INTEREST],1,1):PaymentSchedule[[#This Row],[INTEREST]]),"")</f>
        <v>214960.14321888544</v>
      </c>
      <c r="L286" s="178"/>
    </row>
    <row r="287" spans="2:12" x14ac:dyDescent="0.2">
      <c r="B287" s="175">
        <f>IF(LoanIsGood,IF(ROW()-ROW(PaymentSchedule[[#Headers],[PMT NO]])&gt;ScheduledNumberOfPayments,"",ROW()-ROW(PaymentSchedule[[#Headers],[PMT NO]])),"")</f>
        <v>276</v>
      </c>
      <c r="C287" s="176">
        <f>IF(PaymentSchedule[[#This Row],[PMT NO]]&lt;&gt;"",EOMONTH(LoanStartDate,ROW(PaymentSchedule[[#This Row],[PMT NO]])-ROW(PaymentSchedule[[#Headers],[PMT NO]])-2)+DAY(LoanStartDate),"")</f>
        <v>53387</v>
      </c>
      <c r="D287" s="177">
        <f>IF(PaymentSchedule[[#This Row],[PMT NO]]&lt;&gt;"",IF(ROW()-ROW(PaymentSchedule[[#Headers],[BEGINNING BALANCE]])=1,LoanAmount,INDEX(PaymentSchedule[ENDING BALANCE],ROW()-ROW(PaymentSchedule[[#Headers],[BEGINNING BALANCE]])-1)),"")</f>
        <v>95895.277398040053</v>
      </c>
      <c r="E287" s="177">
        <f>IF(PaymentSchedule[[#This Row],[PMT NO]]&lt;&gt;"",ScheduledPayment,"")</f>
        <v>1342.0540575303476</v>
      </c>
      <c r="F28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7" s="177">
        <f>IF(PaymentSchedule[[#This Row],[PMT NO]]&lt;&gt;"",PaymentSchedule[[#This Row],[TOTAL PAYMENT]]-PaymentSchedule[[#This Row],[INTEREST]],"")</f>
        <v>942.4904017051806</v>
      </c>
      <c r="I287" s="177">
        <f>IF(PaymentSchedule[[#This Row],[PMT NO]]&lt;&gt;"",PaymentSchedule[[#This Row],[BEGINNING BALANCE]]*(InterestRate/PaymentsPerYear),"")</f>
        <v>399.5636558251669</v>
      </c>
      <c r="J28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94952.786996334878</v>
      </c>
      <c r="K287" s="177">
        <f>IF(PaymentSchedule[[#This Row],[PMT NO]]&lt;&gt;"",SUM(INDEX(PaymentSchedule[INTEREST],1,1):PaymentSchedule[[#This Row],[INTEREST]]),"")</f>
        <v>215359.7068747106</v>
      </c>
      <c r="L287" s="178"/>
    </row>
    <row r="288" spans="2:12" x14ac:dyDescent="0.2">
      <c r="B288" s="175">
        <f>IF(LoanIsGood,IF(ROW()-ROW(PaymentSchedule[[#Headers],[PMT NO]])&gt;ScheduledNumberOfPayments,"",ROW()-ROW(PaymentSchedule[[#Headers],[PMT NO]])),"")</f>
        <v>277</v>
      </c>
      <c r="C288" s="176">
        <f>IF(PaymentSchedule[[#This Row],[PMT NO]]&lt;&gt;"",EOMONTH(LoanStartDate,ROW(PaymentSchedule[[#This Row],[PMT NO]])-ROW(PaymentSchedule[[#Headers],[PMT NO]])-2)+DAY(LoanStartDate),"")</f>
        <v>53418</v>
      </c>
      <c r="D288" s="177">
        <f>IF(PaymentSchedule[[#This Row],[PMT NO]]&lt;&gt;"",IF(ROW()-ROW(PaymentSchedule[[#Headers],[BEGINNING BALANCE]])=1,LoanAmount,INDEX(PaymentSchedule[ENDING BALANCE],ROW()-ROW(PaymentSchedule[[#Headers],[BEGINNING BALANCE]])-1)),"")</f>
        <v>94952.786996334878</v>
      </c>
      <c r="E288" s="177">
        <f>IF(PaymentSchedule[[#This Row],[PMT NO]]&lt;&gt;"",ScheduledPayment,"")</f>
        <v>1342.0540575303476</v>
      </c>
      <c r="F28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8" s="177">
        <f>IF(PaymentSchedule[[#This Row],[PMT NO]]&lt;&gt;"",PaymentSchedule[[#This Row],[TOTAL PAYMENT]]-PaymentSchedule[[#This Row],[INTEREST]],"")</f>
        <v>946.41744504561893</v>
      </c>
      <c r="I288" s="177">
        <f>IF(PaymentSchedule[[#This Row],[PMT NO]]&lt;&gt;"",PaymentSchedule[[#This Row],[BEGINNING BALANCE]]*(InterestRate/PaymentsPerYear),"")</f>
        <v>395.63661248472863</v>
      </c>
      <c r="J28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94006.369551289259</v>
      </c>
      <c r="K288" s="177">
        <f>IF(PaymentSchedule[[#This Row],[PMT NO]]&lt;&gt;"",SUM(INDEX(PaymentSchedule[INTEREST],1,1):PaymentSchedule[[#This Row],[INTEREST]]),"")</f>
        <v>215755.34348719532</v>
      </c>
      <c r="L288" s="178"/>
    </row>
    <row r="289" spans="2:12" x14ac:dyDescent="0.2">
      <c r="B289" s="175">
        <f>IF(LoanIsGood,IF(ROW()-ROW(PaymentSchedule[[#Headers],[PMT NO]])&gt;ScheduledNumberOfPayments,"",ROW()-ROW(PaymentSchedule[[#Headers],[PMT NO]])),"")</f>
        <v>278</v>
      </c>
      <c r="C289" s="176">
        <f>IF(PaymentSchedule[[#This Row],[PMT NO]]&lt;&gt;"",EOMONTH(LoanStartDate,ROW(PaymentSchedule[[#This Row],[PMT NO]])-ROW(PaymentSchedule[[#Headers],[PMT NO]])-2)+DAY(LoanStartDate),"")</f>
        <v>53448</v>
      </c>
      <c r="D289" s="177">
        <f>IF(PaymentSchedule[[#This Row],[PMT NO]]&lt;&gt;"",IF(ROW()-ROW(PaymentSchedule[[#Headers],[BEGINNING BALANCE]])=1,LoanAmount,INDEX(PaymentSchedule[ENDING BALANCE],ROW()-ROW(PaymentSchedule[[#Headers],[BEGINNING BALANCE]])-1)),"")</f>
        <v>94006.369551289259</v>
      </c>
      <c r="E289" s="177">
        <f>IF(PaymentSchedule[[#This Row],[PMT NO]]&lt;&gt;"",ScheduledPayment,"")</f>
        <v>1342.0540575303476</v>
      </c>
      <c r="F28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89" s="177">
        <f>IF(PaymentSchedule[[#This Row],[PMT NO]]&lt;&gt;"",PaymentSchedule[[#This Row],[TOTAL PAYMENT]]-PaymentSchedule[[#This Row],[INTEREST]],"")</f>
        <v>950.36085106664234</v>
      </c>
      <c r="I289" s="177">
        <f>IF(PaymentSchedule[[#This Row],[PMT NO]]&lt;&gt;"",PaymentSchedule[[#This Row],[BEGINNING BALANCE]]*(InterestRate/PaymentsPerYear),"")</f>
        <v>391.69320646370522</v>
      </c>
      <c r="J28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93056.008700222621</v>
      </c>
      <c r="K289" s="177">
        <f>IF(PaymentSchedule[[#This Row],[PMT NO]]&lt;&gt;"",SUM(INDEX(PaymentSchedule[INTEREST],1,1):PaymentSchedule[[#This Row],[INTEREST]]),"")</f>
        <v>216147.03669365903</v>
      </c>
      <c r="L289" s="178"/>
    </row>
    <row r="290" spans="2:12" x14ac:dyDescent="0.2">
      <c r="B290" s="175">
        <f>IF(LoanIsGood,IF(ROW()-ROW(PaymentSchedule[[#Headers],[PMT NO]])&gt;ScheduledNumberOfPayments,"",ROW()-ROW(PaymentSchedule[[#Headers],[PMT NO]])),"")</f>
        <v>279</v>
      </c>
      <c r="C290" s="176">
        <f>IF(PaymentSchedule[[#This Row],[PMT NO]]&lt;&gt;"",EOMONTH(LoanStartDate,ROW(PaymentSchedule[[#This Row],[PMT NO]])-ROW(PaymentSchedule[[#Headers],[PMT NO]])-2)+DAY(LoanStartDate),"")</f>
        <v>53479</v>
      </c>
      <c r="D290" s="177">
        <f>IF(PaymentSchedule[[#This Row],[PMT NO]]&lt;&gt;"",IF(ROW()-ROW(PaymentSchedule[[#Headers],[BEGINNING BALANCE]])=1,LoanAmount,INDEX(PaymentSchedule[ENDING BALANCE],ROW()-ROW(PaymentSchedule[[#Headers],[BEGINNING BALANCE]])-1)),"")</f>
        <v>93056.008700222621</v>
      </c>
      <c r="E290" s="177">
        <f>IF(PaymentSchedule[[#This Row],[PMT NO]]&lt;&gt;"",ScheduledPayment,"")</f>
        <v>1342.0540575303476</v>
      </c>
      <c r="F29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0" s="177">
        <f>IF(PaymentSchedule[[#This Row],[PMT NO]]&lt;&gt;"",PaymentSchedule[[#This Row],[TOTAL PAYMENT]]-PaymentSchedule[[#This Row],[INTEREST]],"")</f>
        <v>954.32068794608665</v>
      </c>
      <c r="I290" s="177">
        <f>IF(PaymentSchedule[[#This Row],[PMT NO]]&lt;&gt;"",PaymentSchedule[[#This Row],[BEGINNING BALANCE]]*(InterestRate/PaymentsPerYear),"")</f>
        <v>387.73336958426091</v>
      </c>
      <c r="J29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92101.688012276529</v>
      </c>
      <c r="K290" s="177">
        <f>IF(PaymentSchedule[[#This Row],[PMT NO]]&lt;&gt;"",SUM(INDEX(PaymentSchedule[INTEREST],1,1):PaymentSchedule[[#This Row],[INTEREST]]),"")</f>
        <v>216534.77006324328</v>
      </c>
      <c r="L290" s="178"/>
    </row>
    <row r="291" spans="2:12" x14ac:dyDescent="0.2">
      <c r="B291" s="175">
        <f>IF(LoanIsGood,IF(ROW()-ROW(PaymentSchedule[[#Headers],[PMT NO]])&gt;ScheduledNumberOfPayments,"",ROW()-ROW(PaymentSchedule[[#Headers],[PMT NO]])),"")</f>
        <v>280</v>
      </c>
      <c r="C291" s="176">
        <f>IF(PaymentSchedule[[#This Row],[PMT NO]]&lt;&gt;"",EOMONTH(LoanStartDate,ROW(PaymentSchedule[[#This Row],[PMT NO]])-ROW(PaymentSchedule[[#Headers],[PMT NO]])-2)+DAY(LoanStartDate),"")</f>
        <v>53509</v>
      </c>
      <c r="D291" s="177">
        <f>IF(PaymentSchedule[[#This Row],[PMT NO]]&lt;&gt;"",IF(ROW()-ROW(PaymentSchedule[[#Headers],[BEGINNING BALANCE]])=1,LoanAmount,INDEX(PaymentSchedule[ENDING BALANCE],ROW()-ROW(PaymentSchedule[[#Headers],[BEGINNING BALANCE]])-1)),"")</f>
        <v>92101.688012276529</v>
      </c>
      <c r="E291" s="177">
        <f>IF(PaymentSchedule[[#This Row],[PMT NO]]&lt;&gt;"",ScheduledPayment,"")</f>
        <v>1342.0540575303476</v>
      </c>
      <c r="F29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1" s="177">
        <f>IF(PaymentSchedule[[#This Row],[PMT NO]]&lt;&gt;"",PaymentSchedule[[#This Row],[TOTAL PAYMENT]]-PaymentSchedule[[#This Row],[INTEREST]],"")</f>
        <v>958.297024145862</v>
      </c>
      <c r="I291" s="177">
        <f>IF(PaymentSchedule[[#This Row],[PMT NO]]&lt;&gt;"",PaymentSchedule[[#This Row],[BEGINNING BALANCE]]*(InterestRate/PaymentsPerYear),"")</f>
        <v>383.75703338448551</v>
      </c>
      <c r="J29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91143.390988130661</v>
      </c>
      <c r="K291" s="177">
        <f>IF(PaymentSchedule[[#This Row],[PMT NO]]&lt;&gt;"",SUM(INDEX(PaymentSchedule[INTEREST],1,1):PaymentSchedule[[#This Row],[INTEREST]]),"")</f>
        <v>216918.52709662777</v>
      </c>
      <c r="L291" s="178"/>
    </row>
    <row r="292" spans="2:12" x14ac:dyDescent="0.2">
      <c r="B292" s="175">
        <f>IF(LoanIsGood,IF(ROW()-ROW(PaymentSchedule[[#Headers],[PMT NO]])&gt;ScheduledNumberOfPayments,"",ROW()-ROW(PaymentSchedule[[#Headers],[PMT NO]])),"")</f>
        <v>281</v>
      </c>
      <c r="C292" s="176">
        <f>IF(PaymentSchedule[[#This Row],[PMT NO]]&lt;&gt;"",EOMONTH(LoanStartDate,ROW(PaymentSchedule[[#This Row],[PMT NO]])-ROW(PaymentSchedule[[#Headers],[PMT NO]])-2)+DAY(LoanStartDate),"")</f>
        <v>53540</v>
      </c>
      <c r="D292" s="177">
        <f>IF(PaymentSchedule[[#This Row],[PMT NO]]&lt;&gt;"",IF(ROW()-ROW(PaymentSchedule[[#Headers],[BEGINNING BALANCE]])=1,LoanAmount,INDEX(PaymentSchedule[ENDING BALANCE],ROW()-ROW(PaymentSchedule[[#Headers],[BEGINNING BALANCE]])-1)),"")</f>
        <v>91143.390988130661</v>
      </c>
      <c r="E292" s="177">
        <f>IF(PaymentSchedule[[#This Row],[PMT NO]]&lt;&gt;"",ScheduledPayment,"")</f>
        <v>1342.0540575303476</v>
      </c>
      <c r="F29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2" s="177">
        <f>IF(PaymentSchedule[[#This Row],[PMT NO]]&lt;&gt;"",PaymentSchedule[[#This Row],[TOTAL PAYMENT]]-PaymentSchedule[[#This Row],[INTEREST]],"")</f>
        <v>962.28992841313652</v>
      </c>
      <c r="I292" s="177">
        <f>IF(PaymentSchedule[[#This Row],[PMT NO]]&lt;&gt;"",PaymentSchedule[[#This Row],[BEGINNING BALANCE]]*(InterestRate/PaymentsPerYear),"")</f>
        <v>379.7641291172111</v>
      </c>
      <c r="J29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90181.101059717519</v>
      </c>
      <c r="K292" s="177">
        <f>IF(PaymentSchedule[[#This Row],[PMT NO]]&lt;&gt;"",SUM(INDEX(PaymentSchedule[INTEREST],1,1):PaymentSchedule[[#This Row],[INTEREST]]),"")</f>
        <v>217298.29122574499</v>
      </c>
      <c r="L292" s="178"/>
    </row>
    <row r="293" spans="2:12" x14ac:dyDescent="0.2">
      <c r="B293" s="175">
        <f>IF(LoanIsGood,IF(ROW()-ROW(PaymentSchedule[[#Headers],[PMT NO]])&gt;ScheduledNumberOfPayments,"",ROW()-ROW(PaymentSchedule[[#Headers],[PMT NO]])),"")</f>
        <v>282</v>
      </c>
      <c r="C293" s="176">
        <f>IF(PaymentSchedule[[#This Row],[PMT NO]]&lt;&gt;"",EOMONTH(LoanStartDate,ROW(PaymentSchedule[[#This Row],[PMT NO]])-ROW(PaymentSchedule[[#Headers],[PMT NO]])-2)+DAY(LoanStartDate),"")</f>
        <v>53571</v>
      </c>
      <c r="D293" s="177">
        <f>IF(PaymentSchedule[[#This Row],[PMT NO]]&lt;&gt;"",IF(ROW()-ROW(PaymentSchedule[[#Headers],[BEGINNING BALANCE]])=1,LoanAmount,INDEX(PaymentSchedule[ENDING BALANCE],ROW()-ROW(PaymentSchedule[[#Headers],[BEGINNING BALANCE]])-1)),"")</f>
        <v>90181.101059717519</v>
      </c>
      <c r="E293" s="177">
        <f>IF(PaymentSchedule[[#This Row],[PMT NO]]&lt;&gt;"",ScheduledPayment,"")</f>
        <v>1342.0540575303476</v>
      </c>
      <c r="F29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3" s="177">
        <f>IF(PaymentSchedule[[#This Row],[PMT NO]]&lt;&gt;"",PaymentSchedule[[#This Row],[TOTAL PAYMENT]]-PaymentSchedule[[#This Row],[INTEREST]],"")</f>
        <v>966.29946978152452</v>
      </c>
      <c r="I293" s="177">
        <f>IF(PaymentSchedule[[#This Row],[PMT NO]]&lt;&gt;"",PaymentSchedule[[#This Row],[BEGINNING BALANCE]]*(InterestRate/PaymentsPerYear),"")</f>
        <v>375.75458774882298</v>
      </c>
      <c r="J29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89214.801589935989</v>
      </c>
      <c r="K293" s="177">
        <f>IF(PaymentSchedule[[#This Row],[PMT NO]]&lt;&gt;"",SUM(INDEX(PaymentSchedule[INTEREST],1,1):PaymentSchedule[[#This Row],[INTEREST]]),"")</f>
        <v>217674.04581349381</v>
      </c>
      <c r="L293" s="178"/>
    </row>
    <row r="294" spans="2:12" x14ac:dyDescent="0.2">
      <c r="B294" s="175">
        <f>IF(LoanIsGood,IF(ROW()-ROW(PaymentSchedule[[#Headers],[PMT NO]])&gt;ScheduledNumberOfPayments,"",ROW()-ROW(PaymentSchedule[[#Headers],[PMT NO]])),"")</f>
        <v>283</v>
      </c>
      <c r="C294" s="176">
        <f>IF(PaymentSchedule[[#This Row],[PMT NO]]&lt;&gt;"",EOMONTH(LoanStartDate,ROW(PaymentSchedule[[#This Row],[PMT NO]])-ROW(PaymentSchedule[[#Headers],[PMT NO]])-2)+DAY(LoanStartDate),"")</f>
        <v>53601</v>
      </c>
      <c r="D294" s="177">
        <f>IF(PaymentSchedule[[#This Row],[PMT NO]]&lt;&gt;"",IF(ROW()-ROW(PaymentSchedule[[#Headers],[BEGINNING BALANCE]])=1,LoanAmount,INDEX(PaymentSchedule[ENDING BALANCE],ROW()-ROW(PaymentSchedule[[#Headers],[BEGINNING BALANCE]])-1)),"")</f>
        <v>89214.801589935989</v>
      </c>
      <c r="E294" s="177">
        <f>IF(PaymentSchedule[[#This Row],[PMT NO]]&lt;&gt;"",ScheduledPayment,"")</f>
        <v>1342.0540575303476</v>
      </c>
      <c r="F29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4" s="177">
        <f>IF(PaymentSchedule[[#This Row],[PMT NO]]&lt;&gt;"",PaymentSchedule[[#This Row],[TOTAL PAYMENT]]-PaymentSchedule[[#This Row],[INTEREST]],"")</f>
        <v>970.32571757228095</v>
      </c>
      <c r="I294" s="177">
        <f>IF(PaymentSchedule[[#This Row],[PMT NO]]&lt;&gt;"",PaymentSchedule[[#This Row],[BEGINNING BALANCE]]*(InterestRate/PaymentsPerYear),"")</f>
        <v>371.72833995806661</v>
      </c>
      <c r="J29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88244.475872363706</v>
      </c>
      <c r="K294" s="177">
        <f>IF(PaymentSchedule[[#This Row],[PMT NO]]&lt;&gt;"",SUM(INDEX(PaymentSchedule[INTEREST],1,1):PaymentSchedule[[#This Row],[INTEREST]]),"")</f>
        <v>218045.77415345187</v>
      </c>
      <c r="L294" s="178"/>
    </row>
    <row r="295" spans="2:12" x14ac:dyDescent="0.2">
      <c r="B295" s="175">
        <f>IF(LoanIsGood,IF(ROW()-ROW(PaymentSchedule[[#Headers],[PMT NO]])&gt;ScheduledNumberOfPayments,"",ROW()-ROW(PaymentSchedule[[#Headers],[PMT NO]])),"")</f>
        <v>284</v>
      </c>
      <c r="C295" s="176">
        <f>IF(PaymentSchedule[[#This Row],[PMT NO]]&lt;&gt;"",EOMONTH(LoanStartDate,ROW(PaymentSchedule[[#This Row],[PMT NO]])-ROW(PaymentSchedule[[#Headers],[PMT NO]])-2)+DAY(LoanStartDate),"")</f>
        <v>53632</v>
      </c>
      <c r="D295" s="177">
        <f>IF(PaymentSchedule[[#This Row],[PMT NO]]&lt;&gt;"",IF(ROW()-ROW(PaymentSchedule[[#Headers],[BEGINNING BALANCE]])=1,LoanAmount,INDEX(PaymentSchedule[ENDING BALANCE],ROW()-ROW(PaymentSchedule[[#Headers],[BEGINNING BALANCE]])-1)),"")</f>
        <v>88244.475872363706</v>
      </c>
      <c r="E295" s="177">
        <f>IF(PaymentSchedule[[#This Row],[PMT NO]]&lt;&gt;"",ScheduledPayment,"")</f>
        <v>1342.0540575303476</v>
      </c>
      <c r="F29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5" s="177">
        <f>IF(PaymentSchedule[[#This Row],[PMT NO]]&lt;&gt;"",PaymentSchedule[[#This Row],[TOTAL PAYMENT]]-PaymentSchedule[[#This Row],[INTEREST]],"")</f>
        <v>974.36874139549877</v>
      </c>
      <c r="I295" s="177">
        <f>IF(PaymentSchedule[[#This Row],[PMT NO]]&lt;&gt;"",PaymentSchedule[[#This Row],[BEGINNING BALANCE]]*(InterestRate/PaymentsPerYear),"")</f>
        <v>367.68531613484879</v>
      </c>
      <c r="J29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87270.107130968201</v>
      </c>
      <c r="K295" s="177">
        <f>IF(PaymentSchedule[[#This Row],[PMT NO]]&lt;&gt;"",SUM(INDEX(PaymentSchedule[INTEREST],1,1):PaymentSchedule[[#This Row],[INTEREST]]),"")</f>
        <v>218413.45946958673</v>
      </c>
      <c r="L295" s="178"/>
    </row>
    <row r="296" spans="2:12" x14ac:dyDescent="0.2">
      <c r="B296" s="175">
        <f>IF(LoanIsGood,IF(ROW()-ROW(PaymentSchedule[[#Headers],[PMT NO]])&gt;ScheduledNumberOfPayments,"",ROW()-ROW(PaymentSchedule[[#Headers],[PMT NO]])),"")</f>
        <v>285</v>
      </c>
      <c r="C296" s="176">
        <f>IF(PaymentSchedule[[#This Row],[PMT NO]]&lt;&gt;"",EOMONTH(LoanStartDate,ROW(PaymentSchedule[[#This Row],[PMT NO]])-ROW(PaymentSchedule[[#Headers],[PMT NO]])-2)+DAY(LoanStartDate),"")</f>
        <v>53662</v>
      </c>
      <c r="D296" s="177">
        <f>IF(PaymentSchedule[[#This Row],[PMT NO]]&lt;&gt;"",IF(ROW()-ROW(PaymentSchedule[[#Headers],[BEGINNING BALANCE]])=1,LoanAmount,INDEX(PaymentSchedule[ENDING BALANCE],ROW()-ROW(PaymentSchedule[[#Headers],[BEGINNING BALANCE]])-1)),"")</f>
        <v>87270.107130968201</v>
      </c>
      <c r="E296" s="177">
        <f>IF(PaymentSchedule[[#This Row],[PMT NO]]&lt;&gt;"",ScheduledPayment,"")</f>
        <v>1342.0540575303476</v>
      </c>
      <c r="F29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6" s="177">
        <f>IF(PaymentSchedule[[#This Row],[PMT NO]]&lt;&gt;"",PaymentSchedule[[#This Row],[TOTAL PAYMENT]]-PaymentSchedule[[#This Row],[INTEREST]],"")</f>
        <v>978.42861115131336</v>
      </c>
      <c r="I296" s="177">
        <f>IF(PaymentSchedule[[#This Row],[PMT NO]]&lt;&gt;"",PaymentSchedule[[#This Row],[BEGINNING BALANCE]]*(InterestRate/PaymentsPerYear),"")</f>
        <v>363.62544637903414</v>
      </c>
      <c r="J29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86291.678519816895</v>
      </c>
      <c r="K296" s="177">
        <f>IF(PaymentSchedule[[#This Row],[PMT NO]]&lt;&gt;"",SUM(INDEX(PaymentSchedule[INTEREST],1,1):PaymentSchedule[[#This Row],[INTEREST]]),"")</f>
        <v>218777.08491596577</v>
      </c>
      <c r="L296" s="178"/>
    </row>
    <row r="297" spans="2:12" x14ac:dyDescent="0.2">
      <c r="B297" s="175">
        <f>IF(LoanIsGood,IF(ROW()-ROW(PaymentSchedule[[#Headers],[PMT NO]])&gt;ScheduledNumberOfPayments,"",ROW()-ROW(PaymentSchedule[[#Headers],[PMT NO]])),"")</f>
        <v>286</v>
      </c>
      <c r="C297" s="176">
        <f>IF(PaymentSchedule[[#This Row],[PMT NO]]&lt;&gt;"",EOMONTH(LoanStartDate,ROW(PaymentSchedule[[#This Row],[PMT NO]])-ROW(PaymentSchedule[[#Headers],[PMT NO]])-2)+DAY(LoanStartDate),"")</f>
        <v>53693</v>
      </c>
      <c r="D297" s="177">
        <f>IF(PaymentSchedule[[#This Row],[PMT NO]]&lt;&gt;"",IF(ROW()-ROW(PaymentSchedule[[#Headers],[BEGINNING BALANCE]])=1,LoanAmount,INDEX(PaymentSchedule[ENDING BALANCE],ROW()-ROW(PaymentSchedule[[#Headers],[BEGINNING BALANCE]])-1)),"")</f>
        <v>86291.678519816895</v>
      </c>
      <c r="E297" s="177">
        <f>IF(PaymentSchedule[[#This Row],[PMT NO]]&lt;&gt;"",ScheduledPayment,"")</f>
        <v>1342.0540575303476</v>
      </c>
      <c r="F29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7" s="177">
        <f>IF(PaymentSchedule[[#This Row],[PMT NO]]&lt;&gt;"",PaymentSchedule[[#This Row],[TOTAL PAYMENT]]-PaymentSchedule[[#This Row],[INTEREST]],"")</f>
        <v>982.50539703111053</v>
      </c>
      <c r="I297" s="177">
        <f>IF(PaymentSchedule[[#This Row],[PMT NO]]&lt;&gt;"",PaymentSchedule[[#This Row],[BEGINNING BALANCE]]*(InterestRate/PaymentsPerYear),"")</f>
        <v>359.54866049923703</v>
      </c>
      <c r="J29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85309.173122785782</v>
      </c>
      <c r="K297" s="177">
        <f>IF(PaymentSchedule[[#This Row],[PMT NO]]&lt;&gt;"",SUM(INDEX(PaymentSchedule[INTEREST],1,1):PaymentSchedule[[#This Row],[INTEREST]]),"")</f>
        <v>219136.63357646501</v>
      </c>
      <c r="L297" s="178"/>
    </row>
    <row r="298" spans="2:12" x14ac:dyDescent="0.2">
      <c r="B298" s="175">
        <f>IF(LoanIsGood,IF(ROW()-ROW(PaymentSchedule[[#Headers],[PMT NO]])&gt;ScheduledNumberOfPayments,"",ROW()-ROW(PaymentSchedule[[#Headers],[PMT NO]])),"")</f>
        <v>287</v>
      </c>
      <c r="C298" s="176">
        <f>IF(PaymentSchedule[[#This Row],[PMT NO]]&lt;&gt;"",EOMONTH(LoanStartDate,ROW(PaymentSchedule[[#This Row],[PMT NO]])-ROW(PaymentSchedule[[#Headers],[PMT NO]])-2)+DAY(LoanStartDate),"")</f>
        <v>53724</v>
      </c>
      <c r="D298" s="177">
        <f>IF(PaymentSchedule[[#This Row],[PMT NO]]&lt;&gt;"",IF(ROW()-ROW(PaymentSchedule[[#Headers],[BEGINNING BALANCE]])=1,LoanAmount,INDEX(PaymentSchedule[ENDING BALANCE],ROW()-ROW(PaymentSchedule[[#Headers],[BEGINNING BALANCE]])-1)),"")</f>
        <v>85309.173122785782</v>
      </c>
      <c r="E298" s="177">
        <f>IF(PaymentSchedule[[#This Row],[PMT NO]]&lt;&gt;"",ScheduledPayment,"")</f>
        <v>1342.0540575303476</v>
      </c>
      <c r="F29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8" s="177">
        <f>IF(PaymentSchedule[[#This Row],[PMT NO]]&lt;&gt;"",PaymentSchedule[[#This Row],[TOTAL PAYMENT]]-PaymentSchedule[[#This Row],[INTEREST]],"")</f>
        <v>986.59916951874015</v>
      </c>
      <c r="I298" s="177">
        <f>IF(PaymentSchedule[[#This Row],[PMT NO]]&lt;&gt;"",PaymentSchedule[[#This Row],[BEGINNING BALANCE]]*(InterestRate/PaymentsPerYear),"")</f>
        <v>355.45488801160741</v>
      </c>
      <c r="J29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84322.573953267041</v>
      </c>
      <c r="K298" s="177">
        <f>IF(PaymentSchedule[[#This Row],[PMT NO]]&lt;&gt;"",SUM(INDEX(PaymentSchedule[INTEREST],1,1):PaymentSchedule[[#This Row],[INTEREST]]),"")</f>
        <v>219492.08846447663</v>
      </c>
      <c r="L298" s="178"/>
    </row>
    <row r="299" spans="2:12" x14ac:dyDescent="0.2">
      <c r="B299" s="175">
        <f>IF(LoanIsGood,IF(ROW()-ROW(PaymentSchedule[[#Headers],[PMT NO]])&gt;ScheduledNumberOfPayments,"",ROW()-ROW(PaymentSchedule[[#Headers],[PMT NO]])),"")</f>
        <v>288</v>
      </c>
      <c r="C299" s="176">
        <f>IF(PaymentSchedule[[#This Row],[PMT NO]]&lt;&gt;"",EOMONTH(LoanStartDate,ROW(PaymentSchedule[[#This Row],[PMT NO]])-ROW(PaymentSchedule[[#Headers],[PMT NO]])-2)+DAY(LoanStartDate),"")</f>
        <v>53752</v>
      </c>
      <c r="D299" s="177">
        <f>IF(PaymentSchedule[[#This Row],[PMT NO]]&lt;&gt;"",IF(ROW()-ROW(PaymentSchedule[[#Headers],[BEGINNING BALANCE]])=1,LoanAmount,INDEX(PaymentSchedule[ENDING BALANCE],ROW()-ROW(PaymentSchedule[[#Headers],[BEGINNING BALANCE]])-1)),"")</f>
        <v>84322.573953267041</v>
      </c>
      <c r="E299" s="177">
        <f>IF(PaymentSchedule[[#This Row],[PMT NO]]&lt;&gt;"",ScheduledPayment,"")</f>
        <v>1342.0540575303476</v>
      </c>
      <c r="F29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299" s="177">
        <f>IF(PaymentSchedule[[#This Row],[PMT NO]]&lt;&gt;"",PaymentSchedule[[#This Row],[TOTAL PAYMENT]]-PaymentSchedule[[#This Row],[INTEREST]],"")</f>
        <v>990.70999939173487</v>
      </c>
      <c r="I299" s="177">
        <f>IF(PaymentSchedule[[#This Row],[PMT NO]]&lt;&gt;"",PaymentSchedule[[#This Row],[BEGINNING BALANCE]]*(InterestRate/PaymentsPerYear),"")</f>
        <v>351.3440581386127</v>
      </c>
      <c r="J29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83331.863953875305</v>
      </c>
      <c r="K299" s="177">
        <f>IF(PaymentSchedule[[#This Row],[PMT NO]]&lt;&gt;"",SUM(INDEX(PaymentSchedule[INTEREST],1,1):PaymentSchedule[[#This Row],[INTEREST]]),"")</f>
        <v>219843.43252261524</v>
      </c>
      <c r="L299" s="178"/>
    </row>
    <row r="300" spans="2:12" x14ac:dyDescent="0.2">
      <c r="B300" s="175">
        <f>IF(LoanIsGood,IF(ROW()-ROW(PaymentSchedule[[#Headers],[PMT NO]])&gt;ScheduledNumberOfPayments,"",ROW()-ROW(PaymentSchedule[[#Headers],[PMT NO]])),"")</f>
        <v>289</v>
      </c>
      <c r="C300" s="176">
        <f>IF(PaymentSchedule[[#This Row],[PMT NO]]&lt;&gt;"",EOMONTH(LoanStartDate,ROW(PaymentSchedule[[#This Row],[PMT NO]])-ROW(PaymentSchedule[[#Headers],[PMT NO]])-2)+DAY(LoanStartDate),"")</f>
        <v>53783</v>
      </c>
      <c r="D300" s="177">
        <f>IF(PaymentSchedule[[#This Row],[PMT NO]]&lt;&gt;"",IF(ROW()-ROW(PaymentSchedule[[#Headers],[BEGINNING BALANCE]])=1,LoanAmount,INDEX(PaymentSchedule[ENDING BALANCE],ROW()-ROW(PaymentSchedule[[#Headers],[BEGINNING BALANCE]])-1)),"")</f>
        <v>83331.863953875305</v>
      </c>
      <c r="E300" s="177">
        <f>IF(PaymentSchedule[[#This Row],[PMT NO]]&lt;&gt;"",ScheduledPayment,"")</f>
        <v>1342.0540575303476</v>
      </c>
      <c r="F30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0" s="177">
        <f>IF(PaymentSchedule[[#This Row],[PMT NO]]&lt;&gt;"",PaymentSchedule[[#This Row],[TOTAL PAYMENT]]-PaymentSchedule[[#This Row],[INTEREST]],"")</f>
        <v>994.83795772253382</v>
      </c>
      <c r="I300" s="177">
        <f>IF(PaymentSchedule[[#This Row],[PMT NO]]&lt;&gt;"",PaymentSchedule[[#This Row],[BEGINNING BALANCE]]*(InterestRate/PaymentsPerYear),"")</f>
        <v>347.21609980781375</v>
      </c>
      <c r="J30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82337.025996152777</v>
      </c>
      <c r="K300" s="177">
        <f>IF(PaymentSchedule[[#This Row],[PMT NO]]&lt;&gt;"",SUM(INDEX(PaymentSchedule[INTEREST],1,1):PaymentSchedule[[#This Row],[INTEREST]]),"")</f>
        <v>220190.64862242306</v>
      </c>
      <c r="L300" s="178"/>
    </row>
    <row r="301" spans="2:12" x14ac:dyDescent="0.2">
      <c r="B301" s="175">
        <f>IF(LoanIsGood,IF(ROW()-ROW(PaymentSchedule[[#Headers],[PMT NO]])&gt;ScheduledNumberOfPayments,"",ROW()-ROW(PaymentSchedule[[#Headers],[PMT NO]])),"")</f>
        <v>290</v>
      </c>
      <c r="C301" s="176">
        <f>IF(PaymentSchedule[[#This Row],[PMT NO]]&lt;&gt;"",EOMONTH(LoanStartDate,ROW(PaymentSchedule[[#This Row],[PMT NO]])-ROW(PaymentSchedule[[#Headers],[PMT NO]])-2)+DAY(LoanStartDate),"")</f>
        <v>53813</v>
      </c>
      <c r="D301" s="177">
        <f>IF(PaymentSchedule[[#This Row],[PMT NO]]&lt;&gt;"",IF(ROW()-ROW(PaymentSchedule[[#Headers],[BEGINNING BALANCE]])=1,LoanAmount,INDEX(PaymentSchedule[ENDING BALANCE],ROW()-ROW(PaymentSchedule[[#Headers],[BEGINNING BALANCE]])-1)),"")</f>
        <v>82337.025996152777</v>
      </c>
      <c r="E301" s="177">
        <f>IF(PaymentSchedule[[#This Row],[PMT NO]]&lt;&gt;"",ScheduledPayment,"")</f>
        <v>1342.0540575303476</v>
      </c>
      <c r="F30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1" s="177">
        <f>IF(PaymentSchedule[[#This Row],[PMT NO]]&lt;&gt;"",PaymentSchedule[[#This Row],[TOTAL PAYMENT]]-PaymentSchedule[[#This Row],[INTEREST]],"")</f>
        <v>998.98311587971102</v>
      </c>
      <c r="I301" s="177">
        <f>IF(PaymentSchedule[[#This Row],[PMT NO]]&lt;&gt;"",PaymentSchedule[[#This Row],[BEGINNING BALANCE]]*(InterestRate/PaymentsPerYear),"")</f>
        <v>343.07094165063654</v>
      </c>
      <c r="J30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81338.04288027306</v>
      </c>
      <c r="K301" s="177">
        <f>IF(PaymentSchedule[[#This Row],[PMT NO]]&lt;&gt;"",SUM(INDEX(PaymentSchedule[INTEREST],1,1):PaymentSchedule[[#This Row],[INTEREST]]),"")</f>
        <v>220533.71956407369</v>
      </c>
      <c r="L301" s="178"/>
    </row>
    <row r="302" spans="2:12" x14ac:dyDescent="0.2">
      <c r="B302" s="175">
        <f>IF(LoanIsGood,IF(ROW()-ROW(PaymentSchedule[[#Headers],[PMT NO]])&gt;ScheduledNumberOfPayments,"",ROW()-ROW(PaymentSchedule[[#Headers],[PMT NO]])),"")</f>
        <v>291</v>
      </c>
      <c r="C302" s="176">
        <f>IF(PaymentSchedule[[#This Row],[PMT NO]]&lt;&gt;"",EOMONTH(LoanStartDate,ROW(PaymentSchedule[[#This Row],[PMT NO]])-ROW(PaymentSchedule[[#Headers],[PMT NO]])-2)+DAY(LoanStartDate),"")</f>
        <v>53844</v>
      </c>
      <c r="D302" s="177">
        <f>IF(PaymentSchedule[[#This Row],[PMT NO]]&lt;&gt;"",IF(ROW()-ROW(PaymentSchedule[[#Headers],[BEGINNING BALANCE]])=1,LoanAmount,INDEX(PaymentSchedule[ENDING BALANCE],ROW()-ROW(PaymentSchedule[[#Headers],[BEGINNING BALANCE]])-1)),"")</f>
        <v>81338.04288027306</v>
      </c>
      <c r="E302" s="177">
        <f>IF(PaymentSchedule[[#This Row],[PMT NO]]&lt;&gt;"",ScheduledPayment,"")</f>
        <v>1342.0540575303476</v>
      </c>
      <c r="F30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2" s="177">
        <f>IF(PaymentSchedule[[#This Row],[PMT NO]]&lt;&gt;"",PaymentSchedule[[#This Row],[TOTAL PAYMENT]]-PaymentSchedule[[#This Row],[INTEREST]],"")</f>
        <v>1003.1455455292098</v>
      </c>
      <c r="I302" s="177">
        <f>IF(PaymentSchedule[[#This Row],[PMT NO]]&lt;&gt;"",PaymentSchedule[[#This Row],[BEGINNING BALANCE]]*(InterestRate/PaymentsPerYear),"")</f>
        <v>338.90851200113775</v>
      </c>
      <c r="J30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80334.897334743844</v>
      </c>
      <c r="K302" s="177">
        <f>IF(PaymentSchedule[[#This Row],[PMT NO]]&lt;&gt;"",SUM(INDEX(PaymentSchedule[INTEREST],1,1):PaymentSchedule[[#This Row],[INTEREST]]),"")</f>
        <v>220872.62807607482</v>
      </c>
      <c r="L302" s="178"/>
    </row>
    <row r="303" spans="2:12" x14ac:dyDescent="0.2">
      <c r="B303" s="175">
        <f>IF(LoanIsGood,IF(ROW()-ROW(PaymentSchedule[[#Headers],[PMT NO]])&gt;ScheduledNumberOfPayments,"",ROW()-ROW(PaymentSchedule[[#Headers],[PMT NO]])),"")</f>
        <v>292</v>
      </c>
      <c r="C303" s="176">
        <f>IF(PaymentSchedule[[#This Row],[PMT NO]]&lt;&gt;"",EOMONTH(LoanStartDate,ROW(PaymentSchedule[[#This Row],[PMT NO]])-ROW(PaymentSchedule[[#Headers],[PMT NO]])-2)+DAY(LoanStartDate),"")</f>
        <v>53874</v>
      </c>
      <c r="D303" s="177">
        <f>IF(PaymentSchedule[[#This Row],[PMT NO]]&lt;&gt;"",IF(ROW()-ROW(PaymentSchedule[[#Headers],[BEGINNING BALANCE]])=1,LoanAmount,INDEX(PaymentSchedule[ENDING BALANCE],ROW()-ROW(PaymentSchedule[[#Headers],[BEGINNING BALANCE]])-1)),"")</f>
        <v>80334.897334743844</v>
      </c>
      <c r="E303" s="177">
        <f>IF(PaymentSchedule[[#This Row],[PMT NO]]&lt;&gt;"",ScheduledPayment,"")</f>
        <v>1342.0540575303476</v>
      </c>
      <c r="F30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3" s="177">
        <f>IF(PaymentSchedule[[#This Row],[PMT NO]]&lt;&gt;"",PaymentSchedule[[#This Row],[TOTAL PAYMENT]]-PaymentSchedule[[#This Row],[INTEREST]],"")</f>
        <v>1007.3253186355815</v>
      </c>
      <c r="I303" s="177">
        <f>IF(PaymentSchedule[[#This Row],[PMT NO]]&lt;&gt;"",PaymentSchedule[[#This Row],[BEGINNING BALANCE]]*(InterestRate/PaymentsPerYear),"")</f>
        <v>334.72873889476602</v>
      </c>
      <c r="J30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79327.572016108257</v>
      </c>
      <c r="K303" s="177">
        <f>IF(PaymentSchedule[[#This Row],[PMT NO]]&lt;&gt;"",SUM(INDEX(PaymentSchedule[INTEREST],1,1):PaymentSchedule[[#This Row],[INTEREST]]),"")</f>
        <v>221207.35681496959</v>
      </c>
      <c r="L303" s="178"/>
    </row>
    <row r="304" spans="2:12" x14ac:dyDescent="0.2">
      <c r="B304" s="175">
        <f>IF(LoanIsGood,IF(ROW()-ROW(PaymentSchedule[[#Headers],[PMT NO]])&gt;ScheduledNumberOfPayments,"",ROW()-ROW(PaymentSchedule[[#Headers],[PMT NO]])),"")</f>
        <v>293</v>
      </c>
      <c r="C304" s="176">
        <f>IF(PaymentSchedule[[#This Row],[PMT NO]]&lt;&gt;"",EOMONTH(LoanStartDate,ROW(PaymentSchedule[[#This Row],[PMT NO]])-ROW(PaymentSchedule[[#Headers],[PMT NO]])-2)+DAY(LoanStartDate),"")</f>
        <v>53905</v>
      </c>
      <c r="D304" s="177">
        <f>IF(PaymentSchedule[[#This Row],[PMT NO]]&lt;&gt;"",IF(ROW()-ROW(PaymentSchedule[[#Headers],[BEGINNING BALANCE]])=1,LoanAmount,INDEX(PaymentSchedule[ENDING BALANCE],ROW()-ROW(PaymentSchedule[[#Headers],[BEGINNING BALANCE]])-1)),"")</f>
        <v>79327.572016108257</v>
      </c>
      <c r="E304" s="177">
        <f>IF(PaymentSchedule[[#This Row],[PMT NO]]&lt;&gt;"",ScheduledPayment,"")</f>
        <v>1342.0540575303476</v>
      </c>
      <c r="F30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4" s="177">
        <f>IF(PaymentSchedule[[#This Row],[PMT NO]]&lt;&gt;"",PaymentSchedule[[#This Row],[TOTAL PAYMENT]]-PaymentSchedule[[#This Row],[INTEREST]],"")</f>
        <v>1011.5225074632299</v>
      </c>
      <c r="I304" s="177">
        <f>IF(PaymentSchedule[[#This Row],[PMT NO]]&lt;&gt;"",PaymentSchedule[[#This Row],[BEGINNING BALANCE]]*(InterestRate/PaymentsPerYear),"")</f>
        <v>330.53155006711773</v>
      </c>
      <c r="J30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78316.049508645025</v>
      </c>
      <c r="K304" s="177">
        <f>IF(PaymentSchedule[[#This Row],[PMT NO]]&lt;&gt;"",SUM(INDEX(PaymentSchedule[INTEREST],1,1):PaymentSchedule[[#This Row],[INTEREST]]),"")</f>
        <v>221537.88836503672</v>
      </c>
      <c r="L304" s="178"/>
    </row>
    <row r="305" spans="2:12" x14ac:dyDescent="0.2">
      <c r="B305" s="175">
        <f>IF(LoanIsGood,IF(ROW()-ROW(PaymentSchedule[[#Headers],[PMT NO]])&gt;ScheduledNumberOfPayments,"",ROW()-ROW(PaymentSchedule[[#Headers],[PMT NO]])),"")</f>
        <v>294</v>
      </c>
      <c r="C305" s="176">
        <f>IF(PaymentSchedule[[#This Row],[PMT NO]]&lt;&gt;"",EOMONTH(LoanStartDate,ROW(PaymentSchedule[[#This Row],[PMT NO]])-ROW(PaymentSchedule[[#Headers],[PMT NO]])-2)+DAY(LoanStartDate),"")</f>
        <v>53936</v>
      </c>
      <c r="D305" s="177">
        <f>IF(PaymentSchedule[[#This Row],[PMT NO]]&lt;&gt;"",IF(ROW()-ROW(PaymentSchedule[[#Headers],[BEGINNING BALANCE]])=1,LoanAmount,INDEX(PaymentSchedule[ENDING BALANCE],ROW()-ROW(PaymentSchedule[[#Headers],[BEGINNING BALANCE]])-1)),"")</f>
        <v>78316.049508645025</v>
      </c>
      <c r="E305" s="177">
        <f>IF(PaymentSchedule[[#This Row],[PMT NO]]&lt;&gt;"",ScheduledPayment,"")</f>
        <v>1342.0540575303476</v>
      </c>
      <c r="F30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5" s="177">
        <f>IF(PaymentSchedule[[#This Row],[PMT NO]]&lt;&gt;"",PaymentSchedule[[#This Row],[TOTAL PAYMENT]]-PaymentSchedule[[#This Row],[INTEREST]],"")</f>
        <v>1015.7371845776599</v>
      </c>
      <c r="I305" s="177">
        <f>IF(PaymentSchedule[[#This Row],[PMT NO]]&lt;&gt;"",PaymentSchedule[[#This Row],[BEGINNING BALANCE]]*(InterestRate/PaymentsPerYear),"")</f>
        <v>326.31687295268762</v>
      </c>
      <c r="J30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77300.312324067359</v>
      </c>
      <c r="K305" s="177">
        <f>IF(PaymentSchedule[[#This Row],[PMT NO]]&lt;&gt;"",SUM(INDEX(PaymentSchedule[INTEREST],1,1):PaymentSchedule[[#This Row],[INTEREST]]),"")</f>
        <v>221864.2052379894</v>
      </c>
      <c r="L305" s="178"/>
    </row>
    <row r="306" spans="2:12" x14ac:dyDescent="0.2">
      <c r="B306" s="175">
        <f>IF(LoanIsGood,IF(ROW()-ROW(PaymentSchedule[[#Headers],[PMT NO]])&gt;ScheduledNumberOfPayments,"",ROW()-ROW(PaymentSchedule[[#Headers],[PMT NO]])),"")</f>
        <v>295</v>
      </c>
      <c r="C306" s="176">
        <f>IF(PaymentSchedule[[#This Row],[PMT NO]]&lt;&gt;"",EOMONTH(LoanStartDate,ROW(PaymentSchedule[[#This Row],[PMT NO]])-ROW(PaymentSchedule[[#Headers],[PMT NO]])-2)+DAY(LoanStartDate),"")</f>
        <v>53966</v>
      </c>
      <c r="D306" s="177">
        <f>IF(PaymentSchedule[[#This Row],[PMT NO]]&lt;&gt;"",IF(ROW()-ROW(PaymentSchedule[[#Headers],[BEGINNING BALANCE]])=1,LoanAmount,INDEX(PaymentSchedule[ENDING BALANCE],ROW()-ROW(PaymentSchedule[[#Headers],[BEGINNING BALANCE]])-1)),"")</f>
        <v>77300.312324067359</v>
      </c>
      <c r="E306" s="177">
        <f>IF(PaymentSchedule[[#This Row],[PMT NO]]&lt;&gt;"",ScheduledPayment,"")</f>
        <v>1342.0540575303476</v>
      </c>
      <c r="F30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6" s="177">
        <f>IF(PaymentSchedule[[#This Row],[PMT NO]]&lt;&gt;"",PaymentSchedule[[#This Row],[TOTAL PAYMENT]]-PaymentSchedule[[#This Row],[INTEREST]],"")</f>
        <v>1019.9694228467336</v>
      </c>
      <c r="I306" s="177">
        <f>IF(PaymentSchedule[[#This Row],[PMT NO]]&lt;&gt;"",PaymentSchedule[[#This Row],[BEGINNING BALANCE]]*(InterestRate/PaymentsPerYear),"")</f>
        <v>322.08463468361401</v>
      </c>
      <c r="J30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76280.342901220632</v>
      </c>
      <c r="K306" s="177">
        <f>IF(PaymentSchedule[[#This Row],[PMT NO]]&lt;&gt;"",SUM(INDEX(PaymentSchedule[INTEREST],1,1):PaymentSchedule[[#This Row],[INTEREST]]),"")</f>
        <v>222186.28987267302</v>
      </c>
      <c r="L306" s="178"/>
    </row>
    <row r="307" spans="2:12" x14ac:dyDescent="0.2">
      <c r="B307" s="175">
        <f>IF(LoanIsGood,IF(ROW()-ROW(PaymentSchedule[[#Headers],[PMT NO]])&gt;ScheduledNumberOfPayments,"",ROW()-ROW(PaymentSchedule[[#Headers],[PMT NO]])),"")</f>
        <v>296</v>
      </c>
      <c r="C307" s="176">
        <f>IF(PaymentSchedule[[#This Row],[PMT NO]]&lt;&gt;"",EOMONTH(LoanStartDate,ROW(PaymentSchedule[[#This Row],[PMT NO]])-ROW(PaymentSchedule[[#Headers],[PMT NO]])-2)+DAY(LoanStartDate),"")</f>
        <v>53997</v>
      </c>
      <c r="D307" s="177">
        <f>IF(PaymentSchedule[[#This Row],[PMT NO]]&lt;&gt;"",IF(ROW()-ROW(PaymentSchedule[[#Headers],[BEGINNING BALANCE]])=1,LoanAmount,INDEX(PaymentSchedule[ENDING BALANCE],ROW()-ROW(PaymentSchedule[[#Headers],[BEGINNING BALANCE]])-1)),"")</f>
        <v>76280.342901220632</v>
      </c>
      <c r="E307" s="177">
        <f>IF(PaymentSchedule[[#This Row],[PMT NO]]&lt;&gt;"",ScheduledPayment,"")</f>
        <v>1342.0540575303476</v>
      </c>
      <c r="F30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7" s="177">
        <f>IF(PaymentSchedule[[#This Row],[PMT NO]]&lt;&gt;"",PaymentSchedule[[#This Row],[TOTAL PAYMENT]]-PaymentSchedule[[#This Row],[INTEREST]],"")</f>
        <v>1024.2192954419284</v>
      </c>
      <c r="I307" s="177">
        <f>IF(PaymentSchedule[[#This Row],[PMT NO]]&lt;&gt;"",PaymentSchedule[[#This Row],[BEGINNING BALANCE]]*(InterestRate/PaymentsPerYear),"")</f>
        <v>317.83476208841932</v>
      </c>
      <c r="J30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75256.123605778703</v>
      </c>
      <c r="K307" s="177">
        <f>IF(PaymentSchedule[[#This Row],[PMT NO]]&lt;&gt;"",SUM(INDEX(PaymentSchedule[INTEREST],1,1):PaymentSchedule[[#This Row],[INTEREST]]),"")</f>
        <v>222504.12463476145</v>
      </c>
      <c r="L307" s="178"/>
    </row>
    <row r="308" spans="2:12" x14ac:dyDescent="0.2">
      <c r="B308" s="175">
        <f>IF(LoanIsGood,IF(ROW()-ROW(PaymentSchedule[[#Headers],[PMT NO]])&gt;ScheduledNumberOfPayments,"",ROW()-ROW(PaymentSchedule[[#Headers],[PMT NO]])),"")</f>
        <v>297</v>
      </c>
      <c r="C308" s="176">
        <f>IF(PaymentSchedule[[#This Row],[PMT NO]]&lt;&gt;"",EOMONTH(LoanStartDate,ROW(PaymentSchedule[[#This Row],[PMT NO]])-ROW(PaymentSchedule[[#Headers],[PMT NO]])-2)+DAY(LoanStartDate),"")</f>
        <v>54027</v>
      </c>
      <c r="D308" s="177">
        <f>IF(PaymentSchedule[[#This Row],[PMT NO]]&lt;&gt;"",IF(ROW()-ROW(PaymentSchedule[[#Headers],[BEGINNING BALANCE]])=1,LoanAmount,INDEX(PaymentSchedule[ENDING BALANCE],ROW()-ROW(PaymentSchedule[[#Headers],[BEGINNING BALANCE]])-1)),"")</f>
        <v>75256.123605778703</v>
      </c>
      <c r="E308" s="177">
        <f>IF(PaymentSchedule[[#This Row],[PMT NO]]&lt;&gt;"",ScheduledPayment,"")</f>
        <v>1342.0540575303476</v>
      </c>
      <c r="F30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8" s="177">
        <f>IF(PaymentSchedule[[#This Row],[PMT NO]]&lt;&gt;"",PaymentSchedule[[#This Row],[TOTAL PAYMENT]]-PaymentSchedule[[#This Row],[INTEREST]],"")</f>
        <v>1028.486875839603</v>
      </c>
      <c r="I308" s="177">
        <f>IF(PaymentSchedule[[#This Row],[PMT NO]]&lt;&gt;"",PaymentSchedule[[#This Row],[BEGINNING BALANCE]]*(InterestRate/PaymentsPerYear),"")</f>
        <v>313.56718169074458</v>
      </c>
      <c r="J30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74227.636729939099</v>
      </c>
      <c r="K308" s="177">
        <f>IF(PaymentSchedule[[#This Row],[PMT NO]]&lt;&gt;"",SUM(INDEX(PaymentSchedule[INTEREST],1,1):PaymentSchedule[[#This Row],[INTEREST]]),"")</f>
        <v>222817.69181645219</v>
      </c>
      <c r="L308" s="178"/>
    </row>
    <row r="309" spans="2:12" x14ac:dyDescent="0.2">
      <c r="B309" s="175">
        <f>IF(LoanIsGood,IF(ROW()-ROW(PaymentSchedule[[#Headers],[PMT NO]])&gt;ScheduledNumberOfPayments,"",ROW()-ROW(PaymentSchedule[[#Headers],[PMT NO]])),"")</f>
        <v>298</v>
      </c>
      <c r="C309" s="176">
        <f>IF(PaymentSchedule[[#This Row],[PMT NO]]&lt;&gt;"",EOMONTH(LoanStartDate,ROW(PaymentSchedule[[#This Row],[PMT NO]])-ROW(PaymentSchedule[[#Headers],[PMT NO]])-2)+DAY(LoanStartDate),"")</f>
        <v>54058</v>
      </c>
      <c r="D309" s="177">
        <f>IF(PaymentSchedule[[#This Row],[PMT NO]]&lt;&gt;"",IF(ROW()-ROW(PaymentSchedule[[#Headers],[BEGINNING BALANCE]])=1,LoanAmount,INDEX(PaymentSchedule[ENDING BALANCE],ROW()-ROW(PaymentSchedule[[#Headers],[BEGINNING BALANCE]])-1)),"")</f>
        <v>74227.636729939099</v>
      </c>
      <c r="E309" s="177">
        <f>IF(PaymentSchedule[[#This Row],[PMT NO]]&lt;&gt;"",ScheduledPayment,"")</f>
        <v>1342.0540575303476</v>
      </c>
      <c r="F30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09" s="177">
        <f>IF(PaymentSchedule[[#This Row],[PMT NO]]&lt;&gt;"",PaymentSchedule[[#This Row],[TOTAL PAYMENT]]-PaymentSchedule[[#This Row],[INTEREST]],"")</f>
        <v>1032.7722378222679</v>
      </c>
      <c r="I309" s="177">
        <f>IF(PaymentSchedule[[#This Row],[PMT NO]]&lt;&gt;"",PaymentSchedule[[#This Row],[BEGINNING BALANCE]]*(InterestRate/PaymentsPerYear),"")</f>
        <v>309.28181970807958</v>
      </c>
      <c r="J30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73194.864492116831</v>
      </c>
      <c r="K309" s="177">
        <f>IF(PaymentSchedule[[#This Row],[PMT NO]]&lt;&gt;"",SUM(INDEX(PaymentSchedule[INTEREST],1,1):PaymentSchedule[[#This Row],[INTEREST]]),"")</f>
        <v>223126.97363616028</v>
      </c>
      <c r="L309" s="178"/>
    </row>
    <row r="310" spans="2:12" x14ac:dyDescent="0.2">
      <c r="B310" s="175">
        <f>IF(LoanIsGood,IF(ROW()-ROW(PaymentSchedule[[#Headers],[PMT NO]])&gt;ScheduledNumberOfPayments,"",ROW()-ROW(PaymentSchedule[[#Headers],[PMT NO]])),"")</f>
        <v>299</v>
      </c>
      <c r="C310" s="176">
        <f>IF(PaymentSchedule[[#This Row],[PMT NO]]&lt;&gt;"",EOMONTH(LoanStartDate,ROW(PaymentSchedule[[#This Row],[PMT NO]])-ROW(PaymentSchedule[[#Headers],[PMT NO]])-2)+DAY(LoanStartDate),"")</f>
        <v>54089</v>
      </c>
      <c r="D310" s="177">
        <f>IF(PaymentSchedule[[#This Row],[PMT NO]]&lt;&gt;"",IF(ROW()-ROW(PaymentSchedule[[#Headers],[BEGINNING BALANCE]])=1,LoanAmount,INDEX(PaymentSchedule[ENDING BALANCE],ROW()-ROW(PaymentSchedule[[#Headers],[BEGINNING BALANCE]])-1)),"")</f>
        <v>73194.864492116831</v>
      </c>
      <c r="E310" s="177">
        <f>IF(PaymentSchedule[[#This Row],[PMT NO]]&lt;&gt;"",ScheduledPayment,"")</f>
        <v>1342.0540575303476</v>
      </c>
      <c r="F31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0" s="177">
        <f>IF(PaymentSchedule[[#This Row],[PMT NO]]&lt;&gt;"",PaymentSchedule[[#This Row],[TOTAL PAYMENT]]-PaymentSchedule[[#This Row],[INTEREST]],"")</f>
        <v>1037.0754554798607</v>
      </c>
      <c r="I310" s="177">
        <f>IF(PaymentSchedule[[#This Row],[PMT NO]]&lt;&gt;"",PaymentSchedule[[#This Row],[BEGINNING BALANCE]]*(InterestRate/PaymentsPerYear),"")</f>
        <v>304.97860205048681</v>
      </c>
      <c r="J31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72157.789036636968</v>
      </c>
      <c r="K310" s="177">
        <f>IF(PaymentSchedule[[#This Row],[PMT NO]]&lt;&gt;"",SUM(INDEX(PaymentSchedule[INTEREST],1,1):PaymentSchedule[[#This Row],[INTEREST]]),"")</f>
        <v>223431.95223821077</v>
      </c>
      <c r="L310" s="178"/>
    </row>
    <row r="311" spans="2:12" x14ac:dyDescent="0.2">
      <c r="B311" s="175">
        <f>IF(LoanIsGood,IF(ROW()-ROW(PaymentSchedule[[#Headers],[PMT NO]])&gt;ScheduledNumberOfPayments,"",ROW()-ROW(PaymentSchedule[[#Headers],[PMT NO]])),"")</f>
        <v>300</v>
      </c>
      <c r="C311" s="176">
        <f>IF(PaymentSchedule[[#This Row],[PMT NO]]&lt;&gt;"",EOMONTH(LoanStartDate,ROW(PaymentSchedule[[#This Row],[PMT NO]])-ROW(PaymentSchedule[[#Headers],[PMT NO]])-2)+DAY(LoanStartDate),"")</f>
        <v>54118</v>
      </c>
      <c r="D311" s="177">
        <f>IF(PaymentSchedule[[#This Row],[PMT NO]]&lt;&gt;"",IF(ROW()-ROW(PaymentSchedule[[#Headers],[BEGINNING BALANCE]])=1,LoanAmount,INDEX(PaymentSchedule[ENDING BALANCE],ROW()-ROW(PaymentSchedule[[#Headers],[BEGINNING BALANCE]])-1)),"")</f>
        <v>72157.789036636968</v>
      </c>
      <c r="E311" s="177">
        <f>IF(PaymentSchedule[[#This Row],[PMT NO]]&lt;&gt;"",ScheduledPayment,"")</f>
        <v>1342.0540575303476</v>
      </c>
      <c r="F31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1" s="177">
        <f>IF(PaymentSchedule[[#This Row],[PMT NO]]&lt;&gt;"",PaymentSchedule[[#This Row],[TOTAL PAYMENT]]-PaymentSchedule[[#This Row],[INTEREST]],"")</f>
        <v>1041.3966032110268</v>
      </c>
      <c r="I311" s="177">
        <f>IF(PaymentSchedule[[#This Row],[PMT NO]]&lt;&gt;"",PaymentSchedule[[#This Row],[BEGINNING BALANCE]]*(InterestRate/PaymentsPerYear),"")</f>
        <v>300.65745431932072</v>
      </c>
      <c r="J31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71116.392433425935</v>
      </c>
      <c r="K311" s="177">
        <f>IF(PaymentSchedule[[#This Row],[PMT NO]]&lt;&gt;"",SUM(INDEX(PaymentSchedule[INTEREST],1,1):PaymentSchedule[[#This Row],[INTEREST]]),"")</f>
        <v>223732.6096925301</v>
      </c>
      <c r="L311" s="178"/>
    </row>
    <row r="312" spans="2:12" x14ac:dyDescent="0.2">
      <c r="B312" s="175">
        <f>IF(LoanIsGood,IF(ROW()-ROW(PaymentSchedule[[#Headers],[PMT NO]])&gt;ScheduledNumberOfPayments,"",ROW()-ROW(PaymentSchedule[[#Headers],[PMT NO]])),"")</f>
        <v>301</v>
      </c>
      <c r="C312" s="176">
        <f>IF(PaymentSchedule[[#This Row],[PMT NO]]&lt;&gt;"",EOMONTH(LoanStartDate,ROW(PaymentSchedule[[#This Row],[PMT NO]])-ROW(PaymentSchedule[[#Headers],[PMT NO]])-2)+DAY(LoanStartDate),"")</f>
        <v>54149</v>
      </c>
      <c r="D312" s="177">
        <f>IF(PaymentSchedule[[#This Row],[PMT NO]]&lt;&gt;"",IF(ROW()-ROW(PaymentSchedule[[#Headers],[BEGINNING BALANCE]])=1,LoanAmount,INDEX(PaymentSchedule[ENDING BALANCE],ROW()-ROW(PaymentSchedule[[#Headers],[BEGINNING BALANCE]])-1)),"")</f>
        <v>71116.392433425935</v>
      </c>
      <c r="E312" s="177">
        <f>IF(PaymentSchedule[[#This Row],[PMT NO]]&lt;&gt;"",ScheduledPayment,"")</f>
        <v>1342.0540575303476</v>
      </c>
      <c r="F31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2" s="177">
        <f>IF(PaymentSchedule[[#This Row],[PMT NO]]&lt;&gt;"",PaymentSchedule[[#This Row],[TOTAL PAYMENT]]-PaymentSchedule[[#This Row],[INTEREST]],"")</f>
        <v>1045.7357557244061</v>
      </c>
      <c r="I312" s="177">
        <f>IF(PaymentSchedule[[#This Row],[PMT NO]]&lt;&gt;"",PaymentSchedule[[#This Row],[BEGINNING BALANCE]]*(InterestRate/PaymentsPerYear),"")</f>
        <v>296.31830180594142</v>
      </c>
      <c r="J31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70070.656677701525</v>
      </c>
      <c r="K312" s="177">
        <f>IF(PaymentSchedule[[#This Row],[PMT NO]]&lt;&gt;"",SUM(INDEX(PaymentSchedule[INTEREST],1,1):PaymentSchedule[[#This Row],[INTEREST]]),"")</f>
        <v>224028.92799433603</v>
      </c>
      <c r="L312" s="178"/>
    </row>
    <row r="313" spans="2:12" x14ac:dyDescent="0.2">
      <c r="B313" s="175">
        <f>IF(LoanIsGood,IF(ROW()-ROW(PaymentSchedule[[#Headers],[PMT NO]])&gt;ScheduledNumberOfPayments,"",ROW()-ROW(PaymentSchedule[[#Headers],[PMT NO]])),"")</f>
        <v>302</v>
      </c>
      <c r="C313" s="176">
        <f>IF(PaymentSchedule[[#This Row],[PMT NO]]&lt;&gt;"",EOMONTH(LoanStartDate,ROW(PaymentSchedule[[#This Row],[PMT NO]])-ROW(PaymentSchedule[[#Headers],[PMT NO]])-2)+DAY(LoanStartDate),"")</f>
        <v>54179</v>
      </c>
      <c r="D313" s="177">
        <f>IF(PaymentSchedule[[#This Row],[PMT NO]]&lt;&gt;"",IF(ROW()-ROW(PaymentSchedule[[#Headers],[BEGINNING BALANCE]])=1,LoanAmount,INDEX(PaymentSchedule[ENDING BALANCE],ROW()-ROW(PaymentSchedule[[#Headers],[BEGINNING BALANCE]])-1)),"")</f>
        <v>70070.656677701525</v>
      </c>
      <c r="E313" s="177">
        <f>IF(PaymentSchedule[[#This Row],[PMT NO]]&lt;&gt;"",ScheduledPayment,"")</f>
        <v>1342.0540575303476</v>
      </c>
      <c r="F31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3" s="177">
        <f>IF(PaymentSchedule[[#This Row],[PMT NO]]&lt;&gt;"",PaymentSchedule[[#This Row],[TOTAL PAYMENT]]-PaymentSchedule[[#This Row],[INTEREST]],"")</f>
        <v>1050.0929880399244</v>
      </c>
      <c r="I313" s="177">
        <f>IF(PaymentSchedule[[#This Row],[PMT NO]]&lt;&gt;"",PaymentSchedule[[#This Row],[BEGINNING BALANCE]]*(InterestRate/PaymentsPerYear),"")</f>
        <v>291.96106949042303</v>
      </c>
      <c r="J31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69020.563689661605</v>
      </c>
      <c r="K313" s="177">
        <f>IF(PaymentSchedule[[#This Row],[PMT NO]]&lt;&gt;"",SUM(INDEX(PaymentSchedule[INTEREST],1,1):PaymentSchedule[[#This Row],[INTEREST]]),"")</f>
        <v>224320.88906382644</v>
      </c>
      <c r="L313" s="178"/>
    </row>
    <row r="314" spans="2:12" x14ac:dyDescent="0.2">
      <c r="B314" s="175">
        <f>IF(LoanIsGood,IF(ROW()-ROW(PaymentSchedule[[#Headers],[PMT NO]])&gt;ScheduledNumberOfPayments,"",ROW()-ROW(PaymentSchedule[[#Headers],[PMT NO]])),"")</f>
        <v>303</v>
      </c>
      <c r="C314" s="176">
        <f>IF(PaymentSchedule[[#This Row],[PMT NO]]&lt;&gt;"",EOMONTH(LoanStartDate,ROW(PaymentSchedule[[#This Row],[PMT NO]])-ROW(PaymentSchedule[[#Headers],[PMT NO]])-2)+DAY(LoanStartDate),"")</f>
        <v>54210</v>
      </c>
      <c r="D314" s="177">
        <f>IF(PaymentSchedule[[#This Row],[PMT NO]]&lt;&gt;"",IF(ROW()-ROW(PaymentSchedule[[#Headers],[BEGINNING BALANCE]])=1,LoanAmount,INDEX(PaymentSchedule[ENDING BALANCE],ROW()-ROW(PaymentSchedule[[#Headers],[BEGINNING BALANCE]])-1)),"")</f>
        <v>69020.563689661605</v>
      </c>
      <c r="E314" s="177">
        <f>IF(PaymentSchedule[[#This Row],[PMT NO]]&lt;&gt;"",ScheduledPayment,"")</f>
        <v>1342.0540575303476</v>
      </c>
      <c r="F31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4" s="177">
        <f>IF(PaymentSchedule[[#This Row],[PMT NO]]&lt;&gt;"",PaymentSchedule[[#This Row],[TOTAL PAYMENT]]-PaymentSchedule[[#This Row],[INTEREST]],"")</f>
        <v>1054.4683754900909</v>
      </c>
      <c r="I314" s="177">
        <f>IF(PaymentSchedule[[#This Row],[PMT NO]]&lt;&gt;"",PaymentSchedule[[#This Row],[BEGINNING BALANCE]]*(InterestRate/PaymentsPerYear),"")</f>
        <v>287.5856820402567</v>
      </c>
      <c r="J31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67966.095314171514</v>
      </c>
      <c r="K314" s="177">
        <f>IF(PaymentSchedule[[#This Row],[PMT NO]]&lt;&gt;"",SUM(INDEX(PaymentSchedule[INTEREST],1,1):PaymentSchedule[[#This Row],[INTEREST]]),"")</f>
        <v>224608.4747458667</v>
      </c>
      <c r="L314" s="178"/>
    </row>
    <row r="315" spans="2:12" x14ac:dyDescent="0.2">
      <c r="B315" s="175">
        <f>IF(LoanIsGood,IF(ROW()-ROW(PaymentSchedule[[#Headers],[PMT NO]])&gt;ScheduledNumberOfPayments,"",ROW()-ROW(PaymentSchedule[[#Headers],[PMT NO]])),"")</f>
        <v>304</v>
      </c>
      <c r="C315" s="176">
        <f>IF(PaymentSchedule[[#This Row],[PMT NO]]&lt;&gt;"",EOMONTH(LoanStartDate,ROW(PaymentSchedule[[#This Row],[PMT NO]])-ROW(PaymentSchedule[[#Headers],[PMT NO]])-2)+DAY(LoanStartDate),"")</f>
        <v>54240</v>
      </c>
      <c r="D315" s="177">
        <f>IF(PaymentSchedule[[#This Row],[PMT NO]]&lt;&gt;"",IF(ROW()-ROW(PaymentSchedule[[#Headers],[BEGINNING BALANCE]])=1,LoanAmount,INDEX(PaymentSchedule[ENDING BALANCE],ROW()-ROW(PaymentSchedule[[#Headers],[BEGINNING BALANCE]])-1)),"")</f>
        <v>67966.095314171514</v>
      </c>
      <c r="E315" s="177">
        <f>IF(PaymentSchedule[[#This Row],[PMT NO]]&lt;&gt;"",ScheduledPayment,"")</f>
        <v>1342.0540575303476</v>
      </c>
      <c r="F31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5" s="177">
        <f>IF(PaymentSchedule[[#This Row],[PMT NO]]&lt;&gt;"",PaymentSchedule[[#This Row],[TOTAL PAYMENT]]-PaymentSchedule[[#This Row],[INTEREST]],"")</f>
        <v>1058.8619937212995</v>
      </c>
      <c r="I315" s="177">
        <f>IF(PaymentSchedule[[#This Row],[PMT NO]]&lt;&gt;"",PaymentSchedule[[#This Row],[BEGINNING BALANCE]]*(InterestRate/PaymentsPerYear),"")</f>
        <v>283.19206380904797</v>
      </c>
      <c r="J31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66907.233320450221</v>
      </c>
      <c r="K315" s="177">
        <f>IF(PaymentSchedule[[#This Row],[PMT NO]]&lt;&gt;"",SUM(INDEX(PaymentSchedule[INTEREST],1,1):PaymentSchedule[[#This Row],[INTEREST]]),"")</f>
        <v>224891.66680967575</v>
      </c>
      <c r="L315" s="178"/>
    </row>
    <row r="316" spans="2:12" x14ac:dyDescent="0.2">
      <c r="B316" s="175">
        <f>IF(LoanIsGood,IF(ROW()-ROW(PaymentSchedule[[#Headers],[PMT NO]])&gt;ScheduledNumberOfPayments,"",ROW()-ROW(PaymentSchedule[[#Headers],[PMT NO]])),"")</f>
        <v>305</v>
      </c>
      <c r="C316" s="176">
        <f>IF(PaymentSchedule[[#This Row],[PMT NO]]&lt;&gt;"",EOMONTH(LoanStartDate,ROW(PaymentSchedule[[#This Row],[PMT NO]])-ROW(PaymentSchedule[[#Headers],[PMT NO]])-2)+DAY(LoanStartDate),"")</f>
        <v>54271</v>
      </c>
      <c r="D316" s="177">
        <f>IF(PaymentSchedule[[#This Row],[PMT NO]]&lt;&gt;"",IF(ROW()-ROW(PaymentSchedule[[#Headers],[BEGINNING BALANCE]])=1,LoanAmount,INDEX(PaymentSchedule[ENDING BALANCE],ROW()-ROW(PaymentSchedule[[#Headers],[BEGINNING BALANCE]])-1)),"")</f>
        <v>66907.233320450221</v>
      </c>
      <c r="E316" s="177">
        <f>IF(PaymentSchedule[[#This Row],[PMT NO]]&lt;&gt;"",ScheduledPayment,"")</f>
        <v>1342.0540575303476</v>
      </c>
      <c r="F31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6" s="177">
        <f>IF(PaymentSchedule[[#This Row],[PMT NO]]&lt;&gt;"",PaymentSchedule[[#This Row],[TOTAL PAYMENT]]-PaymentSchedule[[#This Row],[INTEREST]],"")</f>
        <v>1063.2739186951383</v>
      </c>
      <c r="I316" s="177">
        <f>IF(PaymentSchedule[[#This Row],[PMT NO]]&lt;&gt;"",PaymentSchedule[[#This Row],[BEGINNING BALANCE]]*(InterestRate/PaymentsPerYear),"")</f>
        <v>278.78013883520924</v>
      </c>
      <c r="J31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65843.959401755084</v>
      </c>
      <c r="K316" s="177">
        <f>IF(PaymentSchedule[[#This Row],[PMT NO]]&lt;&gt;"",SUM(INDEX(PaymentSchedule[INTEREST],1,1):PaymentSchedule[[#This Row],[INTEREST]]),"")</f>
        <v>225170.44694851097</v>
      </c>
      <c r="L316" s="178"/>
    </row>
    <row r="317" spans="2:12" x14ac:dyDescent="0.2">
      <c r="B317" s="175">
        <f>IF(LoanIsGood,IF(ROW()-ROW(PaymentSchedule[[#Headers],[PMT NO]])&gt;ScheduledNumberOfPayments,"",ROW()-ROW(PaymentSchedule[[#Headers],[PMT NO]])),"")</f>
        <v>306</v>
      </c>
      <c r="C317" s="176">
        <f>IF(PaymentSchedule[[#This Row],[PMT NO]]&lt;&gt;"",EOMONTH(LoanStartDate,ROW(PaymentSchedule[[#This Row],[PMT NO]])-ROW(PaymentSchedule[[#Headers],[PMT NO]])-2)+DAY(LoanStartDate),"")</f>
        <v>54302</v>
      </c>
      <c r="D317" s="177">
        <f>IF(PaymentSchedule[[#This Row],[PMT NO]]&lt;&gt;"",IF(ROW()-ROW(PaymentSchedule[[#Headers],[BEGINNING BALANCE]])=1,LoanAmount,INDEX(PaymentSchedule[ENDING BALANCE],ROW()-ROW(PaymentSchedule[[#Headers],[BEGINNING BALANCE]])-1)),"")</f>
        <v>65843.959401755084</v>
      </c>
      <c r="E317" s="177">
        <f>IF(PaymentSchedule[[#This Row],[PMT NO]]&lt;&gt;"",ScheduledPayment,"")</f>
        <v>1342.0540575303476</v>
      </c>
      <c r="F31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7" s="177">
        <f>IF(PaymentSchedule[[#This Row],[PMT NO]]&lt;&gt;"",PaymentSchedule[[#This Row],[TOTAL PAYMENT]]-PaymentSchedule[[#This Row],[INTEREST]],"")</f>
        <v>1067.7042266897015</v>
      </c>
      <c r="I317" s="177">
        <f>IF(PaymentSchedule[[#This Row],[PMT NO]]&lt;&gt;"",PaymentSchedule[[#This Row],[BEGINNING BALANCE]]*(InterestRate/PaymentsPerYear),"")</f>
        <v>274.34983084064618</v>
      </c>
      <c r="J31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64776.25517506538</v>
      </c>
      <c r="K317" s="177">
        <f>IF(PaymentSchedule[[#This Row],[PMT NO]]&lt;&gt;"",SUM(INDEX(PaymentSchedule[INTEREST],1,1):PaymentSchedule[[#This Row],[INTEREST]]),"")</f>
        <v>225444.79677935163</v>
      </c>
      <c r="L317" s="178"/>
    </row>
    <row r="318" spans="2:12" x14ac:dyDescent="0.2">
      <c r="B318" s="175">
        <f>IF(LoanIsGood,IF(ROW()-ROW(PaymentSchedule[[#Headers],[PMT NO]])&gt;ScheduledNumberOfPayments,"",ROW()-ROW(PaymentSchedule[[#Headers],[PMT NO]])),"")</f>
        <v>307</v>
      </c>
      <c r="C318" s="176">
        <f>IF(PaymentSchedule[[#This Row],[PMT NO]]&lt;&gt;"",EOMONTH(LoanStartDate,ROW(PaymentSchedule[[#This Row],[PMT NO]])-ROW(PaymentSchedule[[#Headers],[PMT NO]])-2)+DAY(LoanStartDate),"")</f>
        <v>54332</v>
      </c>
      <c r="D318" s="177">
        <f>IF(PaymentSchedule[[#This Row],[PMT NO]]&lt;&gt;"",IF(ROW()-ROW(PaymentSchedule[[#Headers],[BEGINNING BALANCE]])=1,LoanAmount,INDEX(PaymentSchedule[ENDING BALANCE],ROW()-ROW(PaymentSchedule[[#Headers],[BEGINNING BALANCE]])-1)),"")</f>
        <v>64776.25517506538</v>
      </c>
      <c r="E318" s="177">
        <f>IF(PaymentSchedule[[#This Row],[PMT NO]]&lt;&gt;"",ScheduledPayment,"")</f>
        <v>1342.0540575303476</v>
      </c>
      <c r="F31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8" s="177">
        <f>IF(PaymentSchedule[[#This Row],[PMT NO]]&lt;&gt;"",PaymentSchedule[[#This Row],[TOTAL PAYMENT]]-PaymentSchedule[[#This Row],[INTEREST]],"")</f>
        <v>1072.1529943009084</v>
      </c>
      <c r="I318" s="177">
        <f>IF(PaymentSchedule[[#This Row],[PMT NO]]&lt;&gt;"",PaymentSchedule[[#This Row],[BEGINNING BALANCE]]*(InterestRate/PaymentsPerYear),"")</f>
        <v>269.9010632294391</v>
      </c>
      <c r="J31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63704.102180764472</v>
      </c>
      <c r="K318" s="177">
        <f>IF(PaymentSchedule[[#This Row],[PMT NO]]&lt;&gt;"",SUM(INDEX(PaymentSchedule[INTEREST],1,1):PaymentSchedule[[#This Row],[INTEREST]]),"")</f>
        <v>225714.69784258108</v>
      </c>
      <c r="L318" s="178"/>
    </row>
    <row r="319" spans="2:12" x14ac:dyDescent="0.2">
      <c r="B319" s="175">
        <f>IF(LoanIsGood,IF(ROW()-ROW(PaymentSchedule[[#Headers],[PMT NO]])&gt;ScheduledNumberOfPayments,"",ROW()-ROW(PaymentSchedule[[#Headers],[PMT NO]])),"")</f>
        <v>308</v>
      </c>
      <c r="C319" s="176">
        <f>IF(PaymentSchedule[[#This Row],[PMT NO]]&lt;&gt;"",EOMONTH(LoanStartDate,ROW(PaymentSchedule[[#This Row],[PMT NO]])-ROW(PaymentSchedule[[#Headers],[PMT NO]])-2)+DAY(LoanStartDate),"")</f>
        <v>54363</v>
      </c>
      <c r="D319" s="177">
        <f>IF(PaymentSchedule[[#This Row],[PMT NO]]&lt;&gt;"",IF(ROW()-ROW(PaymentSchedule[[#Headers],[BEGINNING BALANCE]])=1,LoanAmount,INDEX(PaymentSchedule[ENDING BALANCE],ROW()-ROW(PaymentSchedule[[#Headers],[BEGINNING BALANCE]])-1)),"")</f>
        <v>63704.102180764472</v>
      </c>
      <c r="E319" s="177">
        <f>IF(PaymentSchedule[[#This Row],[PMT NO]]&lt;&gt;"",ScheduledPayment,"")</f>
        <v>1342.0540575303476</v>
      </c>
      <c r="F31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19" s="177">
        <f>IF(PaymentSchedule[[#This Row],[PMT NO]]&lt;&gt;"",PaymentSchedule[[#This Row],[TOTAL PAYMENT]]-PaymentSchedule[[#This Row],[INTEREST]],"")</f>
        <v>1076.6202984438289</v>
      </c>
      <c r="I319" s="177">
        <f>IF(PaymentSchedule[[#This Row],[PMT NO]]&lt;&gt;"",PaymentSchedule[[#This Row],[BEGINNING BALANCE]]*(InterestRate/PaymentsPerYear),"")</f>
        <v>265.43375908651865</v>
      </c>
      <c r="J31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62627.481882320644</v>
      </c>
      <c r="K319" s="177">
        <f>IF(PaymentSchedule[[#This Row],[PMT NO]]&lt;&gt;"",SUM(INDEX(PaymentSchedule[INTEREST],1,1):PaymentSchedule[[#This Row],[INTEREST]]),"")</f>
        <v>225980.13160166761</v>
      </c>
      <c r="L319" s="178"/>
    </row>
    <row r="320" spans="2:12" x14ac:dyDescent="0.2">
      <c r="B320" s="175">
        <f>IF(LoanIsGood,IF(ROW()-ROW(PaymentSchedule[[#Headers],[PMT NO]])&gt;ScheduledNumberOfPayments,"",ROW()-ROW(PaymentSchedule[[#Headers],[PMT NO]])),"")</f>
        <v>309</v>
      </c>
      <c r="C320" s="176">
        <f>IF(PaymentSchedule[[#This Row],[PMT NO]]&lt;&gt;"",EOMONTH(LoanStartDate,ROW(PaymentSchedule[[#This Row],[PMT NO]])-ROW(PaymentSchedule[[#Headers],[PMT NO]])-2)+DAY(LoanStartDate),"")</f>
        <v>54393</v>
      </c>
      <c r="D320" s="177">
        <f>IF(PaymentSchedule[[#This Row],[PMT NO]]&lt;&gt;"",IF(ROW()-ROW(PaymentSchedule[[#Headers],[BEGINNING BALANCE]])=1,LoanAmount,INDEX(PaymentSchedule[ENDING BALANCE],ROW()-ROW(PaymentSchedule[[#Headers],[BEGINNING BALANCE]])-1)),"")</f>
        <v>62627.481882320644</v>
      </c>
      <c r="E320" s="177">
        <f>IF(PaymentSchedule[[#This Row],[PMT NO]]&lt;&gt;"",ScheduledPayment,"")</f>
        <v>1342.0540575303476</v>
      </c>
      <c r="F32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0" s="177">
        <f>IF(PaymentSchedule[[#This Row],[PMT NO]]&lt;&gt;"",PaymentSchedule[[#This Row],[TOTAL PAYMENT]]-PaymentSchedule[[#This Row],[INTEREST]],"")</f>
        <v>1081.1062163540116</v>
      </c>
      <c r="I320" s="177">
        <f>IF(PaymentSchedule[[#This Row],[PMT NO]]&lt;&gt;"",PaymentSchedule[[#This Row],[BEGINNING BALANCE]]*(InterestRate/PaymentsPerYear),"")</f>
        <v>260.947841176336</v>
      </c>
      <c r="J32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61546.375665966632</v>
      </c>
      <c r="K320" s="177">
        <f>IF(PaymentSchedule[[#This Row],[PMT NO]]&lt;&gt;"",SUM(INDEX(PaymentSchedule[INTEREST],1,1):PaymentSchedule[[#This Row],[INTEREST]]),"")</f>
        <v>226241.07944284394</v>
      </c>
      <c r="L320" s="178"/>
    </row>
    <row r="321" spans="2:12" x14ac:dyDescent="0.2">
      <c r="B321" s="175">
        <f>IF(LoanIsGood,IF(ROW()-ROW(PaymentSchedule[[#Headers],[PMT NO]])&gt;ScheduledNumberOfPayments,"",ROW()-ROW(PaymentSchedule[[#Headers],[PMT NO]])),"")</f>
        <v>310</v>
      </c>
      <c r="C321" s="176">
        <f>IF(PaymentSchedule[[#This Row],[PMT NO]]&lt;&gt;"",EOMONTH(LoanStartDate,ROW(PaymentSchedule[[#This Row],[PMT NO]])-ROW(PaymentSchedule[[#Headers],[PMT NO]])-2)+DAY(LoanStartDate),"")</f>
        <v>54424</v>
      </c>
      <c r="D321" s="177">
        <f>IF(PaymentSchedule[[#This Row],[PMT NO]]&lt;&gt;"",IF(ROW()-ROW(PaymentSchedule[[#Headers],[BEGINNING BALANCE]])=1,LoanAmount,INDEX(PaymentSchedule[ENDING BALANCE],ROW()-ROW(PaymentSchedule[[#Headers],[BEGINNING BALANCE]])-1)),"")</f>
        <v>61546.375665966632</v>
      </c>
      <c r="E321" s="177">
        <f>IF(PaymentSchedule[[#This Row],[PMT NO]]&lt;&gt;"",ScheduledPayment,"")</f>
        <v>1342.0540575303476</v>
      </c>
      <c r="F32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1" s="177">
        <f>IF(PaymentSchedule[[#This Row],[PMT NO]]&lt;&gt;"",PaymentSchedule[[#This Row],[TOTAL PAYMENT]]-PaymentSchedule[[#This Row],[INTEREST]],"")</f>
        <v>1085.6108255888198</v>
      </c>
      <c r="I321" s="177">
        <f>IF(PaymentSchedule[[#This Row],[PMT NO]]&lt;&gt;"",PaymentSchedule[[#This Row],[BEGINNING BALANCE]]*(InterestRate/PaymentsPerYear),"")</f>
        <v>256.44323194152764</v>
      </c>
      <c r="J32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60460.764840377815</v>
      </c>
      <c r="K321" s="177">
        <f>IF(PaymentSchedule[[#This Row],[PMT NO]]&lt;&gt;"",SUM(INDEX(PaymentSchedule[INTEREST],1,1):PaymentSchedule[[#This Row],[INTEREST]]),"")</f>
        <v>226497.52267478546</v>
      </c>
      <c r="L321" s="178"/>
    </row>
    <row r="322" spans="2:12" x14ac:dyDescent="0.2">
      <c r="B322" s="175">
        <f>IF(LoanIsGood,IF(ROW()-ROW(PaymentSchedule[[#Headers],[PMT NO]])&gt;ScheduledNumberOfPayments,"",ROW()-ROW(PaymentSchedule[[#Headers],[PMT NO]])),"")</f>
        <v>311</v>
      </c>
      <c r="C322" s="176">
        <f>IF(PaymentSchedule[[#This Row],[PMT NO]]&lt;&gt;"",EOMONTH(LoanStartDate,ROW(PaymentSchedule[[#This Row],[PMT NO]])-ROW(PaymentSchedule[[#Headers],[PMT NO]])-2)+DAY(LoanStartDate),"")</f>
        <v>54455</v>
      </c>
      <c r="D322" s="177">
        <f>IF(PaymentSchedule[[#This Row],[PMT NO]]&lt;&gt;"",IF(ROW()-ROW(PaymentSchedule[[#Headers],[BEGINNING BALANCE]])=1,LoanAmount,INDEX(PaymentSchedule[ENDING BALANCE],ROW()-ROW(PaymentSchedule[[#Headers],[BEGINNING BALANCE]])-1)),"")</f>
        <v>60460.764840377815</v>
      </c>
      <c r="E322" s="177">
        <f>IF(PaymentSchedule[[#This Row],[PMT NO]]&lt;&gt;"",ScheduledPayment,"")</f>
        <v>1342.0540575303476</v>
      </c>
      <c r="F32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2" s="177">
        <f>IF(PaymentSchedule[[#This Row],[PMT NO]]&lt;&gt;"",PaymentSchedule[[#This Row],[TOTAL PAYMENT]]-PaymentSchedule[[#This Row],[INTEREST]],"")</f>
        <v>1090.1342040287734</v>
      </c>
      <c r="I322" s="177">
        <f>IF(PaymentSchedule[[#This Row],[PMT NO]]&lt;&gt;"",PaymentSchedule[[#This Row],[BEGINNING BALANCE]]*(InterestRate/PaymentsPerYear),"")</f>
        <v>251.91985350157424</v>
      </c>
      <c r="J32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59370.630636349044</v>
      </c>
      <c r="K322" s="177">
        <f>IF(PaymentSchedule[[#This Row],[PMT NO]]&lt;&gt;"",SUM(INDEX(PaymentSchedule[INTEREST],1,1):PaymentSchedule[[#This Row],[INTEREST]]),"")</f>
        <v>226749.44252828704</v>
      </c>
      <c r="L322" s="178"/>
    </row>
    <row r="323" spans="2:12" x14ac:dyDescent="0.2">
      <c r="B323" s="175">
        <f>IF(LoanIsGood,IF(ROW()-ROW(PaymentSchedule[[#Headers],[PMT NO]])&gt;ScheduledNumberOfPayments,"",ROW()-ROW(PaymentSchedule[[#Headers],[PMT NO]])),"")</f>
        <v>312</v>
      </c>
      <c r="C323" s="176">
        <f>IF(PaymentSchedule[[#This Row],[PMT NO]]&lt;&gt;"",EOMONTH(LoanStartDate,ROW(PaymentSchedule[[#This Row],[PMT NO]])-ROW(PaymentSchedule[[#Headers],[PMT NO]])-2)+DAY(LoanStartDate),"")</f>
        <v>54483</v>
      </c>
      <c r="D323" s="177">
        <f>IF(PaymentSchedule[[#This Row],[PMT NO]]&lt;&gt;"",IF(ROW()-ROW(PaymentSchedule[[#Headers],[BEGINNING BALANCE]])=1,LoanAmount,INDEX(PaymentSchedule[ENDING BALANCE],ROW()-ROW(PaymentSchedule[[#Headers],[BEGINNING BALANCE]])-1)),"")</f>
        <v>59370.630636349044</v>
      </c>
      <c r="E323" s="177">
        <f>IF(PaymentSchedule[[#This Row],[PMT NO]]&lt;&gt;"",ScheduledPayment,"")</f>
        <v>1342.0540575303476</v>
      </c>
      <c r="F32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3" s="177">
        <f>IF(PaymentSchedule[[#This Row],[PMT NO]]&lt;&gt;"",PaymentSchedule[[#This Row],[TOTAL PAYMENT]]-PaymentSchedule[[#This Row],[INTEREST]],"")</f>
        <v>1094.6764298788933</v>
      </c>
      <c r="I323" s="177">
        <f>IF(PaymentSchedule[[#This Row],[PMT NO]]&lt;&gt;"",PaymentSchedule[[#This Row],[BEGINNING BALANCE]]*(InterestRate/PaymentsPerYear),"")</f>
        <v>247.37762765145433</v>
      </c>
      <c r="J32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58275.954206470153</v>
      </c>
      <c r="K323" s="177">
        <f>IF(PaymentSchedule[[#This Row],[PMT NO]]&lt;&gt;"",SUM(INDEX(PaymentSchedule[INTEREST],1,1):PaymentSchedule[[#This Row],[INTEREST]]),"")</f>
        <v>226996.82015593848</v>
      </c>
      <c r="L323" s="178"/>
    </row>
    <row r="324" spans="2:12" x14ac:dyDescent="0.2">
      <c r="B324" s="175">
        <f>IF(LoanIsGood,IF(ROW()-ROW(PaymentSchedule[[#Headers],[PMT NO]])&gt;ScheduledNumberOfPayments,"",ROW()-ROW(PaymentSchedule[[#Headers],[PMT NO]])),"")</f>
        <v>313</v>
      </c>
      <c r="C324" s="176">
        <f>IF(PaymentSchedule[[#This Row],[PMT NO]]&lt;&gt;"",EOMONTH(LoanStartDate,ROW(PaymentSchedule[[#This Row],[PMT NO]])-ROW(PaymentSchedule[[#Headers],[PMT NO]])-2)+DAY(LoanStartDate),"")</f>
        <v>54514</v>
      </c>
      <c r="D324" s="177">
        <f>IF(PaymentSchedule[[#This Row],[PMT NO]]&lt;&gt;"",IF(ROW()-ROW(PaymentSchedule[[#Headers],[BEGINNING BALANCE]])=1,LoanAmount,INDEX(PaymentSchedule[ENDING BALANCE],ROW()-ROW(PaymentSchedule[[#Headers],[BEGINNING BALANCE]])-1)),"")</f>
        <v>58275.954206470153</v>
      </c>
      <c r="E324" s="177">
        <f>IF(PaymentSchedule[[#This Row],[PMT NO]]&lt;&gt;"",ScheduledPayment,"")</f>
        <v>1342.0540575303476</v>
      </c>
      <c r="F32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4" s="177">
        <f>IF(PaymentSchedule[[#This Row],[PMT NO]]&lt;&gt;"",PaymentSchedule[[#This Row],[TOTAL PAYMENT]]-PaymentSchedule[[#This Row],[INTEREST]],"")</f>
        <v>1099.2375816700553</v>
      </c>
      <c r="I324" s="177">
        <f>IF(PaymentSchedule[[#This Row],[PMT NO]]&lt;&gt;"",PaymentSchedule[[#This Row],[BEGINNING BALANCE]]*(InterestRate/PaymentsPerYear),"")</f>
        <v>242.81647586029229</v>
      </c>
      <c r="J32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57176.716624800094</v>
      </c>
      <c r="K324" s="177">
        <f>IF(PaymentSchedule[[#This Row],[PMT NO]]&lt;&gt;"",SUM(INDEX(PaymentSchedule[INTEREST],1,1):PaymentSchedule[[#This Row],[INTEREST]]),"")</f>
        <v>227239.63663179876</v>
      </c>
      <c r="L324" s="178"/>
    </row>
    <row r="325" spans="2:12" x14ac:dyDescent="0.2">
      <c r="B325" s="175">
        <f>IF(LoanIsGood,IF(ROW()-ROW(PaymentSchedule[[#Headers],[PMT NO]])&gt;ScheduledNumberOfPayments,"",ROW()-ROW(PaymentSchedule[[#Headers],[PMT NO]])),"")</f>
        <v>314</v>
      </c>
      <c r="C325" s="176">
        <f>IF(PaymentSchedule[[#This Row],[PMT NO]]&lt;&gt;"",EOMONTH(LoanStartDate,ROW(PaymentSchedule[[#This Row],[PMT NO]])-ROW(PaymentSchedule[[#Headers],[PMT NO]])-2)+DAY(LoanStartDate),"")</f>
        <v>54544</v>
      </c>
      <c r="D325" s="177">
        <f>IF(PaymentSchedule[[#This Row],[PMT NO]]&lt;&gt;"",IF(ROW()-ROW(PaymentSchedule[[#Headers],[BEGINNING BALANCE]])=1,LoanAmount,INDEX(PaymentSchedule[ENDING BALANCE],ROW()-ROW(PaymentSchedule[[#Headers],[BEGINNING BALANCE]])-1)),"")</f>
        <v>57176.716624800094</v>
      </c>
      <c r="E325" s="177">
        <f>IF(PaymentSchedule[[#This Row],[PMT NO]]&lt;&gt;"",ScheduledPayment,"")</f>
        <v>1342.0540575303476</v>
      </c>
      <c r="F32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5" s="177">
        <f>IF(PaymentSchedule[[#This Row],[PMT NO]]&lt;&gt;"",PaymentSchedule[[#This Row],[TOTAL PAYMENT]]-PaymentSchedule[[#This Row],[INTEREST]],"")</f>
        <v>1103.8177382603471</v>
      </c>
      <c r="I325" s="177">
        <f>IF(PaymentSchedule[[#This Row],[PMT NO]]&lt;&gt;"",PaymentSchedule[[#This Row],[BEGINNING BALANCE]]*(InterestRate/PaymentsPerYear),"")</f>
        <v>238.23631927000039</v>
      </c>
      <c r="J32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56072.898886539748</v>
      </c>
      <c r="K325" s="177">
        <f>IF(PaymentSchedule[[#This Row],[PMT NO]]&lt;&gt;"",SUM(INDEX(PaymentSchedule[INTEREST],1,1):PaymentSchedule[[#This Row],[INTEREST]]),"")</f>
        <v>227477.87295106877</v>
      </c>
      <c r="L325" s="178"/>
    </row>
    <row r="326" spans="2:12" x14ac:dyDescent="0.2">
      <c r="B326" s="175">
        <f>IF(LoanIsGood,IF(ROW()-ROW(PaymentSchedule[[#Headers],[PMT NO]])&gt;ScheduledNumberOfPayments,"",ROW()-ROW(PaymentSchedule[[#Headers],[PMT NO]])),"")</f>
        <v>315</v>
      </c>
      <c r="C326" s="176">
        <f>IF(PaymentSchedule[[#This Row],[PMT NO]]&lt;&gt;"",EOMONTH(LoanStartDate,ROW(PaymentSchedule[[#This Row],[PMT NO]])-ROW(PaymentSchedule[[#Headers],[PMT NO]])-2)+DAY(LoanStartDate),"")</f>
        <v>54575</v>
      </c>
      <c r="D326" s="177">
        <f>IF(PaymentSchedule[[#This Row],[PMT NO]]&lt;&gt;"",IF(ROW()-ROW(PaymentSchedule[[#Headers],[BEGINNING BALANCE]])=1,LoanAmount,INDEX(PaymentSchedule[ENDING BALANCE],ROW()-ROW(PaymentSchedule[[#Headers],[BEGINNING BALANCE]])-1)),"")</f>
        <v>56072.898886539748</v>
      </c>
      <c r="E326" s="177">
        <f>IF(PaymentSchedule[[#This Row],[PMT NO]]&lt;&gt;"",ScheduledPayment,"")</f>
        <v>1342.0540575303476</v>
      </c>
      <c r="F32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6" s="177">
        <f>IF(PaymentSchedule[[#This Row],[PMT NO]]&lt;&gt;"",PaymentSchedule[[#This Row],[TOTAL PAYMENT]]-PaymentSchedule[[#This Row],[INTEREST]],"")</f>
        <v>1108.416978836432</v>
      </c>
      <c r="I326" s="177">
        <f>IF(PaymentSchedule[[#This Row],[PMT NO]]&lt;&gt;"",PaymentSchedule[[#This Row],[BEGINNING BALANCE]]*(InterestRate/PaymentsPerYear),"")</f>
        <v>233.63707869391561</v>
      </c>
      <c r="J32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54964.481907703317</v>
      </c>
      <c r="K326" s="177">
        <f>IF(PaymentSchedule[[#This Row],[PMT NO]]&lt;&gt;"",SUM(INDEX(PaymentSchedule[INTEREST],1,1):PaymentSchedule[[#This Row],[INTEREST]]),"")</f>
        <v>227711.51002976269</v>
      </c>
      <c r="L326" s="178"/>
    </row>
    <row r="327" spans="2:12" x14ac:dyDescent="0.2">
      <c r="B327" s="175">
        <f>IF(LoanIsGood,IF(ROW()-ROW(PaymentSchedule[[#Headers],[PMT NO]])&gt;ScheduledNumberOfPayments,"",ROW()-ROW(PaymentSchedule[[#Headers],[PMT NO]])),"")</f>
        <v>316</v>
      </c>
      <c r="C327" s="176">
        <f>IF(PaymentSchedule[[#This Row],[PMT NO]]&lt;&gt;"",EOMONTH(LoanStartDate,ROW(PaymentSchedule[[#This Row],[PMT NO]])-ROW(PaymentSchedule[[#Headers],[PMT NO]])-2)+DAY(LoanStartDate),"")</f>
        <v>54605</v>
      </c>
      <c r="D327" s="177">
        <f>IF(PaymentSchedule[[#This Row],[PMT NO]]&lt;&gt;"",IF(ROW()-ROW(PaymentSchedule[[#Headers],[BEGINNING BALANCE]])=1,LoanAmount,INDEX(PaymentSchedule[ENDING BALANCE],ROW()-ROW(PaymentSchedule[[#Headers],[BEGINNING BALANCE]])-1)),"")</f>
        <v>54964.481907703317</v>
      </c>
      <c r="E327" s="177">
        <f>IF(PaymentSchedule[[#This Row],[PMT NO]]&lt;&gt;"",ScheduledPayment,"")</f>
        <v>1342.0540575303476</v>
      </c>
      <c r="F32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7" s="177">
        <f>IF(PaymentSchedule[[#This Row],[PMT NO]]&lt;&gt;"",PaymentSchedule[[#This Row],[TOTAL PAYMENT]]-PaymentSchedule[[#This Row],[INTEREST]],"")</f>
        <v>1113.0353829149171</v>
      </c>
      <c r="I327" s="177">
        <f>IF(PaymentSchedule[[#This Row],[PMT NO]]&lt;&gt;"",PaymentSchedule[[#This Row],[BEGINNING BALANCE]]*(InterestRate/PaymentsPerYear),"")</f>
        <v>229.01867461543048</v>
      </c>
      <c r="J32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53851.4465247884</v>
      </c>
      <c r="K327" s="177">
        <f>IF(PaymentSchedule[[#This Row],[PMT NO]]&lt;&gt;"",SUM(INDEX(PaymentSchedule[INTEREST],1,1):PaymentSchedule[[#This Row],[INTEREST]]),"")</f>
        <v>227940.52870437811</v>
      </c>
      <c r="L327" s="178"/>
    </row>
    <row r="328" spans="2:12" x14ac:dyDescent="0.2">
      <c r="B328" s="175">
        <f>IF(LoanIsGood,IF(ROW()-ROW(PaymentSchedule[[#Headers],[PMT NO]])&gt;ScheduledNumberOfPayments,"",ROW()-ROW(PaymentSchedule[[#Headers],[PMT NO]])),"")</f>
        <v>317</v>
      </c>
      <c r="C328" s="176">
        <f>IF(PaymentSchedule[[#This Row],[PMT NO]]&lt;&gt;"",EOMONTH(LoanStartDate,ROW(PaymentSchedule[[#This Row],[PMT NO]])-ROW(PaymentSchedule[[#Headers],[PMT NO]])-2)+DAY(LoanStartDate),"")</f>
        <v>54636</v>
      </c>
      <c r="D328" s="177">
        <f>IF(PaymentSchedule[[#This Row],[PMT NO]]&lt;&gt;"",IF(ROW()-ROW(PaymentSchedule[[#Headers],[BEGINNING BALANCE]])=1,LoanAmount,INDEX(PaymentSchedule[ENDING BALANCE],ROW()-ROW(PaymentSchedule[[#Headers],[BEGINNING BALANCE]])-1)),"")</f>
        <v>53851.4465247884</v>
      </c>
      <c r="E328" s="177">
        <f>IF(PaymentSchedule[[#This Row],[PMT NO]]&lt;&gt;"",ScheduledPayment,"")</f>
        <v>1342.0540575303476</v>
      </c>
      <c r="F32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8" s="177">
        <f>IF(PaymentSchedule[[#This Row],[PMT NO]]&lt;&gt;"",PaymentSchedule[[#This Row],[TOTAL PAYMENT]]-PaymentSchedule[[#This Row],[INTEREST]],"")</f>
        <v>1117.6730303437294</v>
      </c>
      <c r="I328" s="177">
        <f>IF(PaymentSchedule[[#This Row],[PMT NO]]&lt;&gt;"",PaymentSchedule[[#This Row],[BEGINNING BALANCE]]*(InterestRate/PaymentsPerYear),"")</f>
        <v>224.38102718661833</v>
      </c>
      <c r="J32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52733.773494444671</v>
      </c>
      <c r="K328" s="177">
        <f>IF(PaymentSchedule[[#This Row],[PMT NO]]&lt;&gt;"",SUM(INDEX(PaymentSchedule[INTEREST],1,1):PaymentSchedule[[#This Row],[INTEREST]]),"")</f>
        <v>228164.90973156472</v>
      </c>
      <c r="L328" s="178"/>
    </row>
    <row r="329" spans="2:12" x14ac:dyDescent="0.2">
      <c r="B329" s="175">
        <f>IF(LoanIsGood,IF(ROW()-ROW(PaymentSchedule[[#Headers],[PMT NO]])&gt;ScheduledNumberOfPayments,"",ROW()-ROW(PaymentSchedule[[#Headers],[PMT NO]])),"")</f>
        <v>318</v>
      </c>
      <c r="C329" s="176">
        <f>IF(PaymentSchedule[[#This Row],[PMT NO]]&lt;&gt;"",EOMONTH(LoanStartDate,ROW(PaymentSchedule[[#This Row],[PMT NO]])-ROW(PaymentSchedule[[#Headers],[PMT NO]])-2)+DAY(LoanStartDate),"")</f>
        <v>54667</v>
      </c>
      <c r="D329" s="177">
        <f>IF(PaymentSchedule[[#This Row],[PMT NO]]&lt;&gt;"",IF(ROW()-ROW(PaymentSchedule[[#Headers],[BEGINNING BALANCE]])=1,LoanAmount,INDEX(PaymentSchedule[ENDING BALANCE],ROW()-ROW(PaymentSchedule[[#Headers],[BEGINNING BALANCE]])-1)),"")</f>
        <v>52733.773494444671</v>
      </c>
      <c r="E329" s="177">
        <f>IF(PaymentSchedule[[#This Row],[PMT NO]]&lt;&gt;"",ScheduledPayment,"")</f>
        <v>1342.0540575303476</v>
      </c>
      <c r="F32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29" s="177">
        <f>IF(PaymentSchedule[[#This Row],[PMT NO]]&lt;&gt;"",PaymentSchedule[[#This Row],[TOTAL PAYMENT]]-PaymentSchedule[[#This Row],[INTEREST]],"")</f>
        <v>1122.3300013034948</v>
      </c>
      <c r="I329" s="177">
        <f>IF(PaymentSchedule[[#This Row],[PMT NO]]&lt;&gt;"",PaymentSchedule[[#This Row],[BEGINNING BALANCE]]*(InterestRate/PaymentsPerYear),"")</f>
        <v>219.72405622685278</v>
      </c>
      <c r="J32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51611.443493141174</v>
      </c>
      <c r="K329" s="177">
        <f>IF(PaymentSchedule[[#This Row],[PMT NO]]&lt;&gt;"",SUM(INDEX(PaymentSchedule[INTEREST],1,1):PaymentSchedule[[#This Row],[INTEREST]]),"")</f>
        <v>228384.63378779156</v>
      </c>
      <c r="L329" s="178"/>
    </row>
    <row r="330" spans="2:12" x14ac:dyDescent="0.2">
      <c r="B330" s="175">
        <f>IF(LoanIsGood,IF(ROW()-ROW(PaymentSchedule[[#Headers],[PMT NO]])&gt;ScheduledNumberOfPayments,"",ROW()-ROW(PaymentSchedule[[#Headers],[PMT NO]])),"")</f>
        <v>319</v>
      </c>
      <c r="C330" s="176">
        <f>IF(PaymentSchedule[[#This Row],[PMT NO]]&lt;&gt;"",EOMONTH(LoanStartDate,ROW(PaymentSchedule[[#This Row],[PMT NO]])-ROW(PaymentSchedule[[#Headers],[PMT NO]])-2)+DAY(LoanStartDate),"")</f>
        <v>54697</v>
      </c>
      <c r="D330" s="177">
        <f>IF(PaymentSchedule[[#This Row],[PMT NO]]&lt;&gt;"",IF(ROW()-ROW(PaymentSchedule[[#Headers],[BEGINNING BALANCE]])=1,LoanAmount,INDEX(PaymentSchedule[ENDING BALANCE],ROW()-ROW(PaymentSchedule[[#Headers],[BEGINNING BALANCE]])-1)),"")</f>
        <v>51611.443493141174</v>
      </c>
      <c r="E330" s="177">
        <f>IF(PaymentSchedule[[#This Row],[PMT NO]]&lt;&gt;"",ScheduledPayment,"")</f>
        <v>1342.0540575303476</v>
      </c>
      <c r="F33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0" s="177">
        <f>IF(PaymentSchedule[[#This Row],[PMT NO]]&lt;&gt;"",PaymentSchedule[[#This Row],[TOTAL PAYMENT]]-PaymentSchedule[[#This Row],[INTEREST]],"")</f>
        <v>1127.0063763089261</v>
      </c>
      <c r="I330" s="177">
        <f>IF(PaymentSchedule[[#This Row],[PMT NO]]&lt;&gt;"",PaymentSchedule[[#This Row],[BEGINNING BALANCE]]*(InterestRate/PaymentsPerYear),"")</f>
        <v>215.04768122142156</v>
      </c>
      <c r="J33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50484.437116832247</v>
      </c>
      <c r="K330" s="177">
        <f>IF(PaymentSchedule[[#This Row],[PMT NO]]&lt;&gt;"",SUM(INDEX(PaymentSchedule[INTEREST],1,1):PaymentSchedule[[#This Row],[INTEREST]]),"")</f>
        <v>228599.68146901298</v>
      </c>
      <c r="L330" s="178"/>
    </row>
    <row r="331" spans="2:12" x14ac:dyDescent="0.2">
      <c r="B331" s="175">
        <f>IF(LoanIsGood,IF(ROW()-ROW(PaymentSchedule[[#Headers],[PMT NO]])&gt;ScheduledNumberOfPayments,"",ROW()-ROW(PaymentSchedule[[#Headers],[PMT NO]])),"")</f>
        <v>320</v>
      </c>
      <c r="C331" s="176">
        <f>IF(PaymentSchedule[[#This Row],[PMT NO]]&lt;&gt;"",EOMONTH(LoanStartDate,ROW(PaymentSchedule[[#This Row],[PMT NO]])-ROW(PaymentSchedule[[#Headers],[PMT NO]])-2)+DAY(LoanStartDate),"")</f>
        <v>54728</v>
      </c>
      <c r="D331" s="177">
        <f>IF(PaymentSchedule[[#This Row],[PMT NO]]&lt;&gt;"",IF(ROW()-ROW(PaymentSchedule[[#Headers],[BEGINNING BALANCE]])=1,LoanAmount,INDEX(PaymentSchedule[ENDING BALANCE],ROW()-ROW(PaymentSchedule[[#Headers],[BEGINNING BALANCE]])-1)),"")</f>
        <v>50484.437116832247</v>
      </c>
      <c r="E331" s="177">
        <f>IF(PaymentSchedule[[#This Row],[PMT NO]]&lt;&gt;"",ScheduledPayment,"")</f>
        <v>1342.0540575303476</v>
      </c>
      <c r="F33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1" s="177">
        <f>IF(PaymentSchedule[[#This Row],[PMT NO]]&lt;&gt;"",PaymentSchedule[[#This Row],[TOTAL PAYMENT]]-PaymentSchedule[[#This Row],[INTEREST]],"")</f>
        <v>1131.7022362102132</v>
      </c>
      <c r="I331" s="177">
        <f>IF(PaymentSchedule[[#This Row],[PMT NO]]&lt;&gt;"",PaymentSchedule[[#This Row],[BEGINNING BALANCE]]*(InterestRate/PaymentsPerYear),"")</f>
        <v>210.35182132013435</v>
      </c>
      <c r="J33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49352.734880622033</v>
      </c>
      <c r="K331" s="177">
        <f>IF(PaymentSchedule[[#This Row],[PMT NO]]&lt;&gt;"",SUM(INDEX(PaymentSchedule[INTEREST],1,1):PaymentSchedule[[#This Row],[INTEREST]]),"")</f>
        <v>228810.03329033311</v>
      </c>
      <c r="L331" s="178"/>
    </row>
    <row r="332" spans="2:12" x14ac:dyDescent="0.2">
      <c r="B332" s="175">
        <f>IF(LoanIsGood,IF(ROW()-ROW(PaymentSchedule[[#Headers],[PMT NO]])&gt;ScheduledNumberOfPayments,"",ROW()-ROW(PaymentSchedule[[#Headers],[PMT NO]])),"")</f>
        <v>321</v>
      </c>
      <c r="C332" s="176">
        <f>IF(PaymentSchedule[[#This Row],[PMT NO]]&lt;&gt;"",EOMONTH(LoanStartDate,ROW(PaymentSchedule[[#This Row],[PMT NO]])-ROW(PaymentSchedule[[#Headers],[PMT NO]])-2)+DAY(LoanStartDate),"")</f>
        <v>54758</v>
      </c>
      <c r="D332" s="177">
        <f>IF(PaymentSchedule[[#This Row],[PMT NO]]&lt;&gt;"",IF(ROW()-ROW(PaymentSchedule[[#Headers],[BEGINNING BALANCE]])=1,LoanAmount,INDEX(PaymentSchedule[ENDING BALANCE],ROW()-ROW(PaymentSchedule[[#Headers],[BEGINNING BALANCE]])-1)),"")</f>
        <v>49352.734880622033</v>
      </c>
      <c r="E332" s="177">
        <f>IF(PaymentSchedule[[#This Row],[PMT NO]]&lt;&gt;"",ScheduledPayment,"")</f>
        <v>1342.0540575303476</v>
      </c>
      <c r="F33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2" s="177">
        <f>IF(PaymentSchedule[[#This Row],[PMT NO]]&lt;&gt;"",PaymentSchedule[[#This Row],[TOTAL PAYMENT]]-PaymentSchedule[[#This Row],[INTEREST]],"")</f>
        <v>1136.4176621944225</v>
      </c>
      <c r="I332" s="177">
        <f>IF(PaymentSchedule[[#This Row],[PMT NO]]&lt;&gt;"",PaymentSchedule[[#This Row],[BEGINNING BALANCE]]*(InterestRate/PaymentsPerYear),"")</f>
        <v>205.63639533592513</v>
      </c>
      <c r="J33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48216.317218427612</v>
      </c>
      <c r="K332" s="177">
        <f>IF(PaymentSchedule[[#This Row],[PMT NO]]&lt;&gt;"",SUM(INDEX(PaymentSchedule[INTEREST],1,1):PaymentSchedule[[#This Row],[INTEREST]]),"")</f>
        <v>229015.66968566904</v>
      </c>
      <c r="L332" s="178"/>
    </row>
    <row r="333" spans="2:12" x14ac:dyDescent="0.2">
      <c r="B333" s="175">
        <f>IF(LoanIsGood,IF(ROW()-ROW(PaymentSchedule[[#Headers],[PMT NO]])&gt;ScheduledNumberOfPayments,"",ROW()-ROW(PaymentSchedule[[#Headers],[PMT NO]])),"")</f>
        <v>322</v>
      </c>
      <c r="C333" s="176">
        <f>IF(PaymentSchedule[[#This Row],[PMT NO]]&lt;&gt;"",EOMONTH(LoanStartDate,ROW(PaymentSchedule[[#This Row],[PMT NO]])-ROW(PaymentSchedule[[#Headers],[PMT NO]])-2)+DAY(LoanStartDate),"")</f>
        <v>54789</v>
      </c>
      <c r="D333" s="177">
        <f>IF(PaymentSchedule[[#This Row],[PMT NO]]&lt;&gt;"",IF(ROW()-ROW(PaymentSchedule[[#Headers],[BEGINNING BALANCE]])=1,LoanAmount,INDEX(PaymentSchedule[ENDING BALANCE],ROW()-ROW(PaymentSchedule[[#Headers],[BEGINNING BALANCE]])-1)),"")</f>
        <v>48216.317218427612</v>
      </c>
      <c r="E333" s="177">
        <f>IF(PaymentSchedule[[#This Row],[PMT NO]]&lt;&gt;"",ScheduledPayment,"")</f>
        <v>1342.0540575303476</v>
      </c>
      <c r="F33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3" s="177">
        <f>IF(PaymentSchedule[[#This Row],[PMT NO]]&lt;&gt;"",PaymentSchedule[[#This Row],[TOTAL PAYMENT]]-PaymentSchedule[[#This Row],[INTEREST]],"")</f>
        <v>1141.1527357868993</v>
      </c>
      <c r="I333" s="177">
        <f>IF(PaymentSchedule[[#This Row],[PMT NO]]&lt;&gt;"",PaymentSchedule[[#This Row],[BEGINNING BALANCE]]*(InterestRate/PaymentsPerYear),"")</f>
        <v>200.90132174344839</v>
      </c>
      <c r="J33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47075.164482640714</v>
      </c>
      <c r="K333" s="177">
        <f>IF(PaymentSchedule[[#This Row],[PMT NO]]&lt;&gt;"",SUM(INDEX(PaymentSchedule[INTEREST],1,1):PaymentSchedule[[#This Row],[INTEREST]]),"")</f>
        <v>229216.57100741248</v>
      </c>
      <c r="L333" s="178"/>
    </row>
    <row r="334" spans="2:12" x14ac:dyDescent="0.2">
      <c r="B334" s="175">
        <f>IF(LoanIsGood,IF(ROW()-ROW(PaymentSchedule[[#Headers],[PMT NO]])&gt;ScheduledNumberOfPayments,"",ROW()-ROW(PaymentSchedule[[#Headers],[PMT NO]])),"")</f>
        <v>323</v>
      </c>
      <c r="C334" s="176">
        <f>IF(PaymentSchedule[[#This Row],[PMT NO]]&lt;&gt;"",EOMONTH(LoanStartDate,ROW(PaymentSchedule[[#This Row],[PMT NO]])-ROW(PaymentSchedule[[#Headers],[PMT NO]])-2)+DAY(LoanStartDate),"")</f>
        <v>54820</v>
      </c>
      <c r="D334" s="177">
        <f>IF(PaymentSchedule[[#This Row],[PMT NO]]&lt;&gt;"",IF(ROW()-ROW(PaymentSchedule[[#Headers],[BEGINNING BALANCE]])=1,LoanAmount,INDEX(PaymentSchedule[ENDING BALANCE],ROW()-ROW(PaymentSchedule[[#Headers],[BEGINNING BALANCE]])-1)),"")</f>
        <v>47075.164482640714</v>
      </c>
      <c r="E334" s="177">
        <f>IF(PaymentSchedule[[#This Row],[PMT NO]]&lt;&gt;"",ScheduledPayment,"")</f>
        <v>1342.0540575303476</v>
      </c>
      <c r="F33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4" s="177">
        <f>IF(PaymentSchedule[[#This Row],[PMT NO]]&lt;&gt;"",PaymentSchedule[[#This Row],[TOTAL PAYMENT]]-PaymentSchedule[[#This Row],[INTEREST]],"")</f>
        <v>1145.907538852678</v>
      </c>
      <c r="I334" s="177">
        <f>IF(PaymentSchedule[[#This Row],[PMT NO]]&lt;&gt;"",PaymentSchedule[[#This Row],[BEGINNING BALANCE]]*(InterestRate/PaymentsPerYear),"")</f>
        <v>196.14651867766963</v>
      </c>
      <c r="J33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45929.256943788037</v>
      </c>
      <c r="K334" s="177">
        <f>IF(PaymentSchedule[[#This Row],[PMT NO]]&lt;&gt;"",SUM(INDEX(PaymentSchedule[INTEREST],1,1):PaymentSchedule[[#This Row],[INTEREST]]),"")</f>
        <v>229412.71752609016</v>
      </c>
      <c r="L334" s="178"/>
    </row>
    <row r="335" spans="2:12" x14ac:dyDescent="0.2">
      <c r="B335" s="175">
        <f>IF(LoanIsGood,IF(ROW()-ROW(PaymentSchedule[[#Headers],[PMT NO]])&gt;ScheduledNumberOfPayments,"",ROW()-ROW(PaymentSchedule[[#Headers],[PMT NO]])),"")</f>
        <v>324</v>
      </c>
      <c r="C335" s="176">
        <f>IF(PaymentSchedule[[#This Row],[PMT NO]]&lt;&gt;"",EOMONTH(LoanStartDate,ROW(PaymentSchedule[[#This Row],[PMT NO]])-ROW(PaymentSchedule[[#Headers],[PMT NO]])-2)+DAY(LoanStartDate),"")</f>
        <v>54848</v>
      </c>
      <c r="D335" s="177">
        <f>IF(PaymentSchedule[[#This Row],[PMT NO]]&lt;&gt;"",IF(ROW()-ROW(PaymentSchedule[[#Headers],[BEGINNING BALANCE]])=1,LoanAmount,INDEX(PaymentSchedule[ENDING BALANCE],ROW()-ROW(PaymentSchedule[[#Headers],[BEGINNING BALANCE]])-1)),"")</f>
        <v>45929.256943788037</v>
      </c>
      <c r="E335" s="177">
        <f>IF(PaymentSchedule[[#This Row],[PMT NO]]&lt;&gt;"",ScheduledPayment,"")</f>
        <v>1342.0540575303476</v>
      </c>
      <c r="F33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5" s="177">
        <f>IF(PaymentSchedule[[#This Row],[PMT NO]]&lt;&gt;"",PaymentSchedule[[#This Row],[TOTAL PAYMENT]]-PaymentSchedule[[#This Row],[INTEREST]],"")</f>
        <v>1150.6821535978975</v>
      </c>
      <c r="I335" s="177">
        <f>IF(PaymentSchedule[[#This Row],[PMT NO]]&lt;&gt;"",PaymentSchedule[[#This Row],[BEGINNING BALANCE]]*(InterestRate/PaymentsPerYear),"")</f>
        <v>191.37190393245015</v>
      </c>
      <c r="J33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44778.574790190141</v>
      </c>
      <c r="K335" s="177">
        <f>IF(PaymentSchedule[[#This Row],[PMT NO]]&lt;&gt;"",SUM(INDEX(PaymentSchedule[INTEREST],1,1):PaymentSchedule[[#This Row],[INTEREST]]),"")</f>
        <v>229604.08943002261</v>
      </c>
      <c r="L335" s="178"/>
    </row>
    <row r="336" spans="2:12" x14ac:dyDescent="0.2">
      <c r="B336" s="175">
        <f>IF(LoanIsGood,IF(ROW()-ROW(PaymentSchedule[[#Headers],[PMT NO]])&gt;ScheduledNumberOfPayments,"",ROW()-ROW(PaymentSchedule[[#Headers],[PMT NO]])),"")</f>
        <v>325</v>
      </c>
      <c r="C336" s="176">
        <f>IF(PaymentSchedule[[#This Row],[PMT NO]]&lt;&gt;"",EOMONTH(LoanStartDate,ROW(PaymentSchedule[[#This Row],[PMT NO]])-ROW(PaymentSchedule[[#Headers],[PMT NO]])-2)+DAY(LoanStartDate),"")</f>
        <v>54879</v>
      </c>
      <c r="D336" s="177">
        <f>IF(PaymentSchedule[[#This Row],[PMT NO]]&lt;&gt;"",IF(ROW()-ROW(PaymentSchedule[[#Headers],[BEGINNING BALANCE]])=1,LoanAmount,INDEX(PaymentSchedule[ENDING BALANCE],ROW()-ROW(PaymentSchedule[[#Headers],[BEGINNING BALANCE]])-1)),"")</f>
        <v>44778.574790190141</v>
      </c>
      <c r="E336" s="177">
        <f>IF(PaymentSchedule[[#This Row],[PMT NO]]&lt;&gt;"",ScheduledPayment,"")</f>
        <v>1342.0540575303476</v>
      </c>
      <c r="F33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6" s="177">
        <f>IF(PaymentSchedule[[#This Row],[PMT NO]]&lt;&gt;"",PaymentSchedule[[#This Row],[TOTAL PAYMENT]]-PaymentSchedule[[#This Row],[INTEREST]],"")</f>
        <v>1155.4766625712221</v>
      </c>
      <c r="I336" s="177">
        <f>IF(PaymentSchedule[[#This Row],[PMT NO]]&lt;&gt;"",PaymentSchedule[[#This Row],[BEGINNING BALANCE]]*(InterestRate/PaymentsPerYear),"")</f>
        <v>186.5773949591256</v>
      </c>
      <c r="J33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43623.09812761892</v>
      </c>
      <c r="K336" s="177">
        <f>IF(PaymentSchedule[[#This Row],[PMT NO]]&lt;&gt;"",SUM(INDEX(PaymentSchedule[INTEREST],1,1):PaymentSchedule[[#This Row],[INTEREST]]),"")</f>
        <v>229790.66682498174</v>
      </c>
      <c r="L336" s="178"/>
    </row>
    <row r="337" spans="2:12" x14ac:dyDescent="0.2">
      <c r="B337" s="175">
        <f>IF(LoanIsGood,IF(ROW()-ROW(PaymentSchedule[[#Headers],[PMT NO]])&gt;ScheduledNumberOfPayments,"",ROW()-ROW(PaymentSchedule[[#Headers],[PMT NO]])),"")</f>
        <v>326</v>
      </c>
      <c r="C337" s="176">
        <f>IF(PaymentSchedule[[#This Row],[PMT NO]]&lt;&gt;"",EOMONTH(LoanStartDate,ROW(PaymentSchedule[[#This Row],[PMT NO]])-ROW(PaymentSchedule[[#Headers],[PMT NO]])-2)+DAY(LoanStartDate),"")</f>
        <v>54909</v>
      </c>
      <c r="D337" s="177">
        <f>IF(PaymentSchedule[[#This Row],[PMT NO]]&lt;&gt;"",IF(ROW()-ROW(PaymentSchedule[[#Headers],[BEGINNING BALANCE]])=1,LoanAmount,INDEX(PaymentSchedule[ENDING BALANCE],ROW()-ROW(PaymentSchedule[[#Headers],[BEGINNING BALANCE]])-1)),"")</f>
        <v>43623.09812761892</v>
      </c>
      <c r="E337" s="177">
        <f>IF(PaymentSchedule[[#This Row],[PMT NO]]&lt;&gt;"",ScheduledPayment,"")</f>
        <v>1342.0540575303476</v>
      </c>
      <c r="F33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7" s="177">
        <f>IF(PaymentSchedule[[#This Row],[PMT NO]]&lt;&gt;"",PaymentSchedule[[#This Row],[TOTAL PAYMENT]]-PaymentSchedule[[#This Row],[INTEREST]],"")</f>
        <v>1160.2911486652688</v>
      </c>
      <c r="I337" s="177">
        <f>IF(PaymentSchedule[[#This Row],[PMT NO]]&lt;&gt;"",PaymentSchedule[[#This Row],[BEGINNING BALANCE]]*(InterestRate/PaymentsPerYear),"")</f>
        <v>181.76290886507883</v>
      </c>
      <c r="J33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42462.806978953653</v>
      </c>
      <c r="K337" s="177">
        <f>IF(PaymentSchedule[[#This Row],[PMT NO]]&lt;&gt;"",SUM(INDEX(PaymentSchedule[INTEREST],1,1):PaymentSchedule[[#This Row],[INTEREST]]),"")</f>
        <v>229972.42973384683</v>
      </c>
      <c r="L337" s="178"/>
    </row>
    <row r="338" spans="2:12" x14ac:dyDescent="0.2">
      <c r="B338" s="175">
        <f>IF(LoanIsGood,IF(ROW()-ROW(PaymentSchedule[[#Headers],[PMT NO]])&gt;ScheduledNumberOfPayments,"",ROW()-ROW(PaymentSchedule[[#Headers],[PMT NO]])),"")</f>
        <v>327</v>
      </c>
      <c r="C338" s="176">
        <f>IF(PaymentSchedule[[#This Row],[PMT NO]]&lt;&gt;"",EOMONTH(LoanStartDate,ROW(PaymentSchedule[[#This Row],[PMT NO]])-ROW(PaymentSchedule[[#Headers],[PMT NO]])-2)+DAY(LoanStartDate),"")</f>
        <v>54940</v>
      </c>
      <c r="D338" s="177">
        <f>IF(PaymentSchedule[[#This Row],[PMT NO]]&lt;&gt;"",IF(ROW()-ROW(PaymentSchedule[[#Headers],[BEGINNING BALANCE]])=1,LoanAmount,INDEX(PaymentSchedule[ENDING BALANCE],ROW()-ROW(PaymentSchedule[[#Headers],[BEGINNING BALANCE]])-1)),"")</f>
        <v>42462.806978953653</v>
      </c>
      <c r="E338" s="177">
        <f>IF(PaymentSchedule[[#This Row],[PMT NO]]&lt;&gt;"",ScheduledPayment,"")</f>
        <v>1342.0540575303476</v>
      </c>
      <c r="F33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8" s="177">
        <f>IF(PaymentSchedule[[#This Row],[PMT NO]]&lt;&gt;"",PaymentSchedule[[#This Row],[TOTAL PAYMENT]]-PaymentSchedule[[#This Row],[INTEREST]],"")</f>
        <v>1165.1256951180408</v>
      </c>
      <c r="I338" s="177">
        <f>IF(PaymentSchedule[[#This Row],[PMT NO]]&lt;&gt;"",PaymentSchedule[[#This Row],[BEGINNING BALANCE]]*(InterestRate/PaymentsPerYear),"")</f>
        <v>176.92836241230688</v>
      </c>
      <c r="J33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41297.681283835613</v>
      </c>
      <c r="K338" s="177">
        <f>IF(PaymentSchedule[[#This Row],[PMT NO]]&lt;&gt;"",SUM(INDEX(PaymentSchedule[INTEREST],1,1):PaymentSchedule[[#This Row],[INTEREST]]),"")</f>
        <v>230149.35809625915</v>
      </c>
      <c r="L338" s="178"/>
    </row>
    <row r="339" spans="2:12" x14ac:dyDescent="0.2">
      <c r="B339" s="175">
        <f>IF(LoanIsGood,IF(ROW()-ROW(PaymentSchedule[[#Headers],[PMT NO]])&gt;ScheduledNumberOfPayments,"",ROW()-ROW(PaymentSchedule[[#Headers],[PMT NO]])),"")</f>
        <v>328</v>
      </c>
      <c r="C339" s="176">
        <f>IF(PaymentSchedule[[#This Row],[PMT NO]]&lt;&gt;"",EOMONTH(LoanStartDate,ROW(PaymentSchedule[[#This Row],[PMT NO]])-ROW(PaymentSchedule[[#Headers],[PMT NO]])-2)+DAY(LoanStartDate),"")</f>
        <v>54970</v>
      </c>
      <c r="D339" s="177">
        <f>IF(PaymentSchedule[[#This Row],[PMT NO]]&lt;&gt;"",IF(ROW()-ROW(PaymentSchedule[[#Headers],[BEGINNING BALANCE]])=1,LoanAmount,INDEX(PaymentSchedule[ENDING BALANCE],ROW()-ROW(PaymentSchedule[[#Headers],[BEGINNING BALANCE]])-1)),"")</f>
        <v>41297.681283835613</v>
      </c>
      <c r="E339" s="177">
        <f>IF(PaymentSchedule[[#This Row],[PMT NO]]&lt;&gt;"",ScheduledPayment,"")</f>
        <v>1342.0540575303476</v>
      </c>
      <c r="F33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39" s="177">
        <f>IF(PaymentSchedule[[#This Row],[PMT NO]]&lt;&gt;"",PaymentSchedule[[#This Row],[TOTAL PAYMENT]]-PaymentSchedule[[#This Row],[INTEREST]],"")</f>
        <v>1169.9803855143659</v>
      </c>
      <c r="I339" s="177">
        <f>IF(PaymentSchedule[[#This Row],[PMT NO]]&lt;&gt;"",PaymentSchedule[[#This Row],[BEGINNING BALANCE]]*(InterestRate/PaymentsPerYear),"")</f>
        <v>172.07367201598171</v>
      </c>
      <c r="J33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40127.700898321244</v>
      </c>
      <c r="K339" s="177">
        <f>IF(PaymentSchedule[[#This Row],[PMT NO]]&lt;&gt;"",SUM(INDEX(PaymentSchedule[INTEREST],1,1):PaymentSchedule[[#This Row],[INTEREST]]),"")</f>
        <v>230321.43176827513</v>
      </c>
      <c r="L339" s="178"/>
    </row>
    <row r="340" spans="2:12" x14ac:dyDescent="0.2">
      <c r="B340" s="175">
        <f>IF(LoanIsGood,IF(ROW()-ROW(PaymentSchedule[[#Headers],[PMT NO]])&gt;ScheduledNumberOfPayments,"",ROW()-ROW(PaymentSchedule[[#Headers],[PMT NO]])),"")</f>
        <v>329</v>
      </c>
      <c r="C340" s="176">
        <f>IF(PaymentSchedule[[#This Row],[PMT NO]]&lt;&gt;"",EOMONTH(LoanStartDate,ROW(PaymentSchedule[[#This Row],[PMT NO]])-ROW(PaymentSchedule[[#Headers],[PMT NO]])-2)+DAY(LoanStartDate),"")</f>
        <v>55001</v>
      </c>
      <c r="D340" s="177">
        <f>IF(PaymentSchedule[[#This Row],[PMT NO]]&lt;&gt;"",IF(ROW()-ROW(PaymentSchedule[[#Headers],[BEGINNING BALANCE]])=1,LoanAmount,INDEX(PaymentSchedule[ENDING BALANCE],ROW()-ROW(PaymentSchedule[[#Headers],[BEGINNING BALANCE]])-1)),"")</f>
        <v>40127.700898321244</v>
      </c>
      <c r="E340" s="177">
        <f>IF(PaymentSchedule[[#This Row],[PMT NO]]&lt;&gt;"",ScheduledPayment,"")</f>
        <v>1342.0540575303476</v>
      </c>
      <c r="F34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0" s="177">
        <f>IF(PaymentSchedule[[#This Row],[PMT NO]]&lt;&gt;"",PaymentSchedule[[#This Row],[TOTAL PAYMENT]]-PaymentSchedule[[#This Row],[INTEREST]],"")</f>
        <v>1174.8553037873423</v>
      </c>
      <c r="I340" s="177">
        <f>IF(PaymentSchedule[[#This Row],[PMT NO]]&lt;&gt;"",PaymentSchedule[[#This Row],[BEGINNING BALANCE]]*(InterestRate/PaymentsPerYear),"")</f>
        <v>167.19875374300517</v>
      </c>
      <c r="J34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38952.845594533901</v>
      </c>
      <c r="K340" s="177">
        <f>IF(PaymentSchedule[[#This Row],[PMT NO]]&lt;&gt;"",SUM(INDEX(PaymentSchedule[INTEREST],1,1):PaymentSchedule[[#This Row],[INTEREST]]),"")</f>
        <v>230488.63052201812</v>
      </c>
      <c r="L340" s="178"/>
    </row>
    <row r="341" spans="2:12" x14ac:dyDescent="0.2">
      <c r="B341" s="175">
        <f>IF(LoanIsGood,IF(ROW()-ROW(PaymentSchedule[[#Headers],[PMT NO]])&gt;ScheduledNumberOfPayments,"",ROW()-ROW(PaymentSchedule[[#Headers],[PMT NO]])),"")</f>
        <v>330</v>
      </c>
      <c r="C341" s="176">
        <f>IF(PaymentSchedule[[#This Row],[PMT NO]]&lt;&gt;"",EOMONTH(LoanStartDate,ROW(PaymentSchedule[[#This Row],[PMT NO]])-ROW(PaymentSchedule[[#Headers],[PMT NO]])-2)+DAY(LoanStartDate),"")</f>
        <v>55032</v>
      </c>
      <c r="D341" s="177">
        <f>IF(PaymentSchedule[[#This Row],[PMT NO]]&lt;&gt;"",IF(ROW()-ROW(PaymentSchedule[[#Headers],[BEGINNING BALANCE]])=1,LoanAmount,INDEX(PaymentSchedule[ENDING BALANCE],ROW()-ROW(PaymentSchedule[[#Headers],[BEGINNING BALANCE]])-1)),"")</f>
        <v>38952.845594533901</v>
      </c>
      <c r="E341" s="177">
        <f>IF(PaymentSchedule[[#This Row],[PMT NO]]&lt;&gt;"",ScheduledPayment,"")</f>
        <v>1342.0540575303476</v>
      </c>
      <c r="F34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1" s="177">
        <f>IF(PaymentSchedule[[#This Row],[PMT NO]]&lt;&gt;"",PaymentSchedule[[#This Row],[TOTAL PAYMENT]]-PaymentSchedule[[#This Row],[INTEREST]],"")</f>
        <v>1179.7505342197896</v>
      </c>
      <c r="I341" s="177">
        <f>IF(PaymentSchedule[[#This Row],[PMT NO]]&lt;&gt;"",PaymentSchedule[[#This Row],[BEGINNING BALANCE]]*(InterestRate/PaymentsPerYear),"")</f>
        <v>162.30352331055792</v>
      </c>
      <c r="J34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37773.09506031411</v>
      </c>
      <c r="K341" s="177">
        <f>IF(PaymentSchedule[[#This Row],[PMT NO]]&lt;&gt;"",SUM(INDEX(PaymentSchedule[INTEREST],1,1):PaymentSchedule[[#This Row],[INTEREST]]),"")</f>
        <v>230650.93404532867</v>
      </c>
      <c r="L341" s="178"/>
    </row>
    <row r="342" spans="2:12" x14ac:dyDescent="0.2">
      <c r="B342" s="175">
        <f>IF(LoanIsGood,IF(ROW()-ROW(PaymentSchedule[[#Headers],[PMT NO]])&gt;ScheduledNumberOfPayments,"",ROW()-ROW(PaymentSchedule[[#Headers],[PMT NO]])),"")</f>
        <v>331</v>
      </c>
      <c r="C342" s="176">
        <f>IF(PaymentSchedule[[#This Row],[PMT NO]]&lt;&gt;"",EOMONTH(LoanStartDate,ROW(PaymentSchedule[[#This Row],[PMT NO]])-ROW(PaymentSchedule[[#Headers],[PMT NO]])-2)+DAY(LoanStartDate),"")</f>
        <v>55062</v>
      </c>
      <c r="D342" s="177">
        <f>IF(PaymentSchedule[[#This Row],[PMT NO]]&lt;&gt;"",IF(ROW()-ROW(PaymentSchedule[[#Headers],[BEGINNING BALANCE]])=1,LoanAmount,INDEX(PaymentSchedule[ENDING BALANCE],ROW()-ROW(PaymentSchedule[[#Headers],[BEGINNING BALANCE]])-1)),"")</f>
        <v>37773.09506031411</v>
      </c>
      <c r="E342" s="177">
        <f>IF(PaymentSchedule[[#This Row],[PMT NO]]&lt;&gt;"",ScheduledPayment,"")</f>
        <v>1342.0540575303476</v>
      </c>
      <c r="F34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2" s="177">
        <f>IF(PaymentSchedule[[#This Row],[PMT NO]]&lt;&gt;"",PaymentSchedule[[#This Row],[TOTAL PAYMENT]]-PaymentSchedule[[#This Row],[INTEREST]],"")</f>
        <v>1184.6661614457055</v>
      </c>
      <c r="I342" s="177">
        <f>IF(PaymentSchedule[[#This Row],[PMT NO]]&lt;&gt;"",PaymentSchedule[[#This Row],[BEGINNING BALANCE]]*(InterestRate/PaymentsPerYear),"")</f>
        <v>157.38789608464214</v>
      </c>
      <c r="J34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36588.428898868406</v>
      </c>
      <c r="K342" s="177">
        <f>IF(PaymentSchedule[[#This Row],[PMT NO]]&lt;&gt;"",SUM(INDEX(PaymentSchedule[INTEREST],1,1):PaymentSchedule[[#This Row],[INTEREST]]),"")</f>
        <v>230808.32194141331</v>
      </c>
      <c r="L342" s="178"/>
    </row>
    <row r="343" spans="2:12" x14ac:dyDescent="0.2">
      <c r="B343" s="175">
        <f>IF(LoanIsGood,IF(ROW()-ROW(PaymentSchedule[[#Headers],[PMT NO]])&gt;ScheduledNumberOfPayments,"",ROW()-ROW(PaymentSchedule[[#Headers],[PMT NO]])),"")</f>
        <v>332</v>
      </c>
      <c r="C343" s="176">
        <f>IF(PaymentSchedule[[#This Row],[PMT NO]]&lt;&gt;"",EOMONTH(LoanStartDate,ROW(PaymentSchedule[[#This Row],[PMT NO]])-ROW(PaymentSchedule[[#Headers],[PMT NO]])-2)+DAY(LoanStartDate),"")</f>
        <v>55093</v>
      </c>
      <c r="D343" s="177">
        <f>IF(PaymentSchedule[[#This Row],[PMT NO]]&lt;&gt;"",IF(ROW()-ROW(PaymentSchedule[[#Headers],[BEGINNING BALANCE]])=1,LoanAmount,INDEX(PaymentSchedule[ENDING BALANCE],ROW()-ROW(PaymentSchedule[[#Headers],[BEGINNING BALANCE]])-1)),"")</f>
        <v>36588.428898868406</v>
      </c>
      <c r="E343" s="177">
        <f>IF(PaymentSchedule[[#This Row],[PMT NO]]&lt;&gt;"",ScheduledPayment,"")</f>
        <v>1342.0540575303476</v>
      </c>
      <c r="F34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3" s="177">
        <f>IF(PaymentSchedule[[#This Row],[PMT NO]]&lt;&gt;"",PaymentSchedule[[#This Row],[TOTAL PAYMENT]]-PaymentSchedule[[#This Row],[INTEREST]],"")</f>
        <v>1189.6022704517293</v>
      </c>
      <c r="I343" s="177">
        <f>IF(PaymentSchedule[[#This Row],[PMT NO]]&lt;&gt;"",PaymentSchedule[[#This Row],[BEGINNING BALANCE]]*(InterestRate/PaymentsPerYear),"")</f>
        <v>152.45178707861837</v>
      </c>
      <c r="J34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35398.826628416675</v>
      </c>
      <c r="K343" s="177">
        <f>IF(PaymentSchedule[[#This Row],[PMT NO]]&lt;&gt;"",SUM(INDEX(PaymentSchedule[INTEREST],1,1):PaymentSchedule[[#This Row],[INTEREST]]),"")</f>
        <v>230960.77372849191</v>
      </c>
      <c r="L343" s="178"/>
    </row>
    <row r="344" spans="2:12" x14ac:dyDescent="0.2">
      <c r="B344" s="175">
        <f>IF(LoanIsGood,IF(ROW()-ROW(PaymentSchedule[[#Headers],[PMT NO]])&gt;ScheduledNumberOfPayments,"",ROW()-ROW(PaymentSchedule[[#Headers],[PMT NO]])),"")</f>
        <v>333</v>
      </c>
      <c r="C344" s="176">
        <f>IF(PaymentSchedule[[#This Row],[PMT NO]]&lt;&gt;"",EOMONTH(LoanStartDate,ROW(PaymentSchedule[[#This Row],[PMT NO]])-ROW(PaymentSchedule[[#Headers],[PMT NO]])-2)+DAY(LoanStartDate),"")</f>
        <v>55123</v>
      </c>
      <c r="D344" s="177">
        <f>IF(PaymentSchedule[[#This Row],[PMT NO]]&lt;&gt;"",IF(ROW()-ROW(PaymentSchedule[[#Headers],[BEGINNING BALANCE]])=1,LoanAmount,INDEX(PaymentSchedule[ENDING BALANCE],ROW()-ROW(PaymentSchedule[[#Headers],[BEGINNING BALANCE]])-1)),"")</f>
        <v>35398.826628416675</v>
      </c>
      <c r="E344" s="177">
        <f>IF(PaymentSchedule[[#This Row],[PMT NO]]&lt;&gt;"",ScheduledPayment,"")</f>
        <v>1342.0540575303476</v>
      </c>
      <c r="F34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4" s="177">
        <f>IF(PaymentSchedule[[#This Row],[PMT NO]]&lt;&gt;"",PaymentSchedule[[#This Row],[TOTAL PAYMENT]]-PaymentSchedule[[#This Row],[INTEREST]],"")</f>
        <v>1194.5589465786115</v>
      </c>
      <c r="I344" s="177">
        <f>IF(PaymentSchedule[[#This Row],[PMT NO]]&lt;&gt;"",PaymentSchedule[[#This Row],[BEGINNING BALANCE]]*(InterestRate/PaymentsPerYear),"")</f>
        <v>147.49511095173614</v>
      </c>
      <c r="J34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34204.267681838064</v>
      </c>
      <c r="K344" s="177">
        <f>IF(PaymentSchedule[[#This Row],[PMT NO]]&lt;&gt;"",SUM(INDEX(PaymentSchedule[INTEREST],1,1):PaymentSchedule[[#This Row],[INTEREST]]),"")</f>
        <v>231108.26883944366</v>
      </c>
      <c r="L344" s="178"/>
    </row>
    <row r="345" spans="2:12" x14ac:dyDescent="0.2">
      <c r="B345" s="175">
        <f>IF(LoanIsGood,IF(ROW()-ROW(PaymentSchedule[[#Headers],[PMT NO]])&gt;ScheduledNumberOfPayments,"",ROW()-ROW(PaymentSchedule[[#Headers],[PMT NO]])),"")</f>
        <v>334</v>
      </c>
      <c r="C345" s="176">
        <f>IF(PaymentSchedule[[#This Row],[PMT NO]]&lt;&gt;"",EOMONTH(LoanStartDate,ROW(PaymentSchedule[[#This Row],[PMT NO]])-ROW(PaymentSchedule[[#Headers],[PMT NO]])-2)+DAY(LoanStartDate),"")</f>
        <v>55154</v>
      </c>
      <c r="D345" s="177">
        <f>IF(PaymentSchedule[[#This Row],[PMT NO]]&lt;&gt;"",IF(ROW()-ROW(PaymentSchedule[[#Headers],[BEGINNING BALANCE]])=1,LoanAmount,INDEX(PaymentSchedule[ENDING BALANCE],ROW()-ROW(PaymentSchedule[[#Headers],[BEGINNING BALANCE]])-1)),"")</f>
        <v>34204.267681838064</v>
      </c>
      <c r="E345" s="177">
        <f>IF(PaymentSchedule[[#This Row],[PMT NO]]&lt;&gt;"",ScheduledPayment,"")</f>
        <v>1342.0540575303476</v>
      </c>
      <c r="F34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5" s="177">
        <f>IF(PaymentSchedule[[#This Row],[PMT NO]]&lt;&gt;"",PaymentSchedule[[#This Row],[TOTAL PAYMENT]]-PaymentSchedule[[#This Row],[INTEREST]],"")</f>
        <v>1199.536275522689</v>
      </c>
      <c r="I345" s="177">
        <f>IF(PaymentSchedule[[#This Row],[PMT NO]]&lt;&gt;"",PaymentSchedule[[#This Row],[BEGINNING BALANCE]]*(InterestRate/PaymentsPerYear),"")</f>
        <v>142.51778200765861</v>
      </c>
      <c r="J34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33004.731406315375</v>
      </c>
      <c r="K345" s="177">
        <f>IF(PaymentSchedule[[#This Row],[PMT NO]]&lt;&gt;"",SUM(INDEX(PaymentSchedule[INTEREST],1,1):PaymentSchedule[[#This Row],[INTEREST]]),"")</f>
        <v>231250.78662145132</v>
      </c>
      <c r="L345" s="178"/>
    </row>
    <row r="346" spans="2:12" x14ac:dyDescent="0.2">
      <c r="B346" s="175">
        <f>IF(LoanIsGood,IF(ROW()-ROW(PaymentSchedule[[#Headers],[PMT NO]])&gt;ScheduledNumberOfPayments,"",ROW()-ROW(PaymentSchedule[[#Headers],[PMT NO]])),"")</f>
        <v>335</v>
      </c>
      <c r="C346" s="176">
        <f>IF(PaymentSchedule[[#This Row],[PMT NO]]&lt;&gt;"",EOMONTH(LoanStartDate,ROW(PaymentSchedule[[#This Row],[PMT NO]])-ROW(PaymentSchedule[[#Headers],[PMT NO]])-2)+DAY(LoanStartDate),"")</f>
        <v>55185</v>
      </c>
      <c r="D346" s="177">
        <f>IF(PaymentSchedule[[#This Row],[PMT NO]]&lt;&gt;"",IF(ROW()-ROW(PaymentSchedule[[#Headers],[BEGINNING BALANCE]])=1,LoanAmount,INDEX(PaymentSchedule[ENDING BALANCE],ROW()-ROW(PaymentSchedule[[#Headers],[BEGINNING BALANCE]])-1)),"")</f>
        <v>33004.731406315375</v>
      </c>
      <c r="E346" s="177">
        <f>IF(PaymentSchedule[[#This Row],[PMT NO]]&lt;&gt;"",ScheduledPayment,"")</f>
        <v>1342.0540575303476</v>
      </c>
      <c r="F34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6" s="177">
        <f>IF(PaymentSchedule[[#This Row],[PMT NO]]&lt;&gt;"",PaymentSchedule[[#This Row],[TOTAL PAYMENT]]-PaymentSchedule[[#This Row],[INTEREST]],"")</f>
        <v>1204.5343433373669</v>
      </c>
      <c r="I346" s="177">
        <f>IF(PaymentSchedule[[#This Row],[PMT NO]]&lt;&gt;"",PaymentSchedule[[#This Row],[BEGINNING BALANCE]]*(InterestRate/PaymentsPerYear),"")</f>
        <v>137.51971419298073</v>
      </c>
      <c r="J34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31800.197062978008</v>
      </c>
      <c r="K346" s="177">
        <f>IF(PaymentSchedule[[#This Row],[PMT NO]]&lt;&gt;"",SUM(INDEX(PaymentSchedule[INTEREST],1,1):PaymentSchedule[[#This Row],[INTEREST]]),"")</f>
        <v>231388.3063356443</v>
      </c>
      <c r="L346" s="178"/>
    </row>
    <row r="347" spans="2:12" x14ac:dyDescent="0.2">
      <c r="B347" s="175">
        <f>IF(LoanIsGood,IF(ROW()-ROW(PaymentSchedule[[#Headers],[PMT NO]])&gt;ScheduledNumberOfPayments,"",ROW()-ROW(PaymentSchedule[[#Headers],[PMT NO]])),"")</f>
        <v>336</v>
      </c>
      <c r="C347" s="176">
        <f>IF(PaymentSchedule[[#This Row],[PMT NO]]&lt;&gt;"",EOMONTH(LoanStartDate,ROW(PaymentSchedule[[#This Row],[PMT NO]])-ROW(PaymentSchedule[[#Headers],[PMT NO]])-2)+DAY(LoanStartDate),"")</f>
        <v>55213</v>
      </c>
      <c r="D347" s="177">
        <f>IF(PaymentSchedule[[#This Row],[PMT NO]]&lt;&gt;"",IF(ROW()-ROW(PaymentSchedule[[#Headers],[BEGINNING BALANCE]])=1,LoanAmount,INDEX(PaymentSchedule[ENDING BALANCE],ROW()-ROW(PaymentSchedule[[#Headers],[BEGINNING BALANCE]])-1)),"")</f>
        <v>31800.197062978008</v>
      </c>
      <c r="E347" s="177">
        <f>IF(PaymentSchedule[[#This Row],[PMT NO]]&lt;&gt;"",ScheduledPayment,"")</f>
        <v>1342.0540575303476</v>
      </c>
      <c r="F34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7" s="177">
        <f>IF(PaymentSchedule[[#This Row],[PMT NO]]&lt;&gt;"",PaymentSchedule[[#This Row],[TOTAL PAYMENT]]-PaymentSchedule[[#This Row],[INTEREST]],"")</f>
        <v>1209.5532364346059</v>
      </c>
      <c r="I347" s="177">
        <f>IF(PaymentSchedule[[#This Row],[PMT NO]]&lt;&gt;"",PaymentSchedule[[#This Row],[BEGINNING BALANCE]]*(InterestRate/PaymentsPerYear),"")</f>
        <v>132.50082109574168</v>
      </c>
      <c r="J34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30590.643826543401</v>
      </c>
      <c r="K347" s="177">
        <f>IF(PaymentSchedule[[#This Row],[PMT NO]]&lt;&gt;"",SUM(INDEX(PaymentSchedule[INTEREST],1,1):PaymentSchedule[[#This Row],[INTEREST]]),"")</f>
        <v>231520.80715674005</v>
      </c>
      <c r="L347" s="178"/>
    </row>
    <row r="348" spans="2:12" x14ac:dyDescent="0.2">
      <c r="B348" s="175">
        <f>IF(LoanIsGood,IF(ROW()-ROW(PaymentSchedule[[#Headers],[PMT NO]])&gt;ScheduledNumberOfPayments,"",ROW()-ROW(PaymentSchedule[[#Headers],[PMT NO]])),"")</f>
        <v>337</v>
      </c>
      <c r="C348" s="176">
        <f>IF(PaymentSchedule[[#This Row],[PMT NO]]&lt;&gt;"",EOMONTH(LoanStartDate,ROW(PaymentSchedule[[#This Row],[PMT NO]])-ROW(PaymentSchedule[[#Headers],[PMT NO]])-2)+DAY(LoanStartDate),"")</f>
        <v>55244</v>
      </c>
      <c r="D348" s="177">
        <f>IF(PaymentSchedule[[#This Row],[PMT NO]]&lt;&gt;"",IF(ROW()-ROW(PaymentSchedule[[#Headers],[BEGINNING BALANCE]])=1,LoanAmount,INDEX(PaymentSchedule[ENDING BALANCE],ROW()-ROW(PaymentSchedule[[#Headers],[BEGINNING BALANCE]])-1)),"")</f>
        <v>30590.643826543401</v>
      </c>
      <c r="E348" s="177">
        <f>IF(PaymentSchedule[[#This Row],[PMT NO]]&lt;&gt;"",ScheduledPayment,"")</f>
        <v>1342.0540575303476</v>
      </c>
      <c r="F34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8" s="177">
        <f>IF(PaymentSchedule[[#This Row],[PMT NO]]&lt;&gt;"",PaymentSchedule[[#This Row],[TOTAL PAYMENT]]-PaymentSchedule[[#This Row],[INTEREST]],"")</f>
        <v>1214.5930415864168</v>
      </c>
      <c r="I348" s="177">
        <f>IF(PaymentSchedule[[#This Row],[PMT NO]]&lt;&gt;"",PaymentSchedule[[#This Row],[BEGINNING BALANCE]]*(InterestRate/PaymentsPerYear),"")</f>
        <v>127.46101594393083</v>
      </c>
      <c r="J34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29376.050784956984</v>
      </c>
      <c r="K348" s="177">
        <f>IF(PaymentSchedule[[#This Row],[PMT NO]]&lt;&gt;"",SUM(INDEX(PaymentSchedule[INTEREST],1,1):PaymentSchedule[[#This Row],[INTEREST]]),"")</f>
        <v>231648.26817268398</v>
      </c>
      <c r="L348" s="178"/>
    </row>
    <row r="349" spans="2:12" x14ac:dyDescent="0.2">
      <c r="B349" s="175">
        <f>IF(LoanIsGood,IF(ROW()-ROW(PaymentSchedule[[#Headers],[PMT NO]])&gt;ScheduledNumberOfPayments,"",ROW()-ROW(PaymentSchedule[[#Headers],[PMT NO]])),"")</f>
        <v>338</v>
      </c>
      <c r="C349" s="176">
        <f>IF(PaymentSchedule[[#This Row],[PMT NO]]&lt;&gt;"",EOMONTH(LoanStartDate,ROW(PaymentSchedule[[#This Row],[PMT NO]])-ROW(PaymentSchedule[[#Headers],[PMT NO]])-2)+DAY(LoanStartDate),"")</f>
        <v>55274</v>
      </c>
      <c r="D349" s="177">
        <f>IF(PaymentSchedule[[#This Row],[PMT NO]]&lt;&gt;"",IF(ROW()-ROW(PaymentSchedule[[#Headers],[BEGINNING BALANCE]])=1,LoanAmount,INDEX(PaymentSchedule[ENDING BALANCE],ROW()-ROW(PaymentSchedule[[#Headers],[BEGINNING BALANCE]])-1)),"")</f>
        <v>29376.050784956984</v>
      </c>
      <c r="E349" s="177">
        <f>IF(PaymentSchedule[[#This Row],[PMT NO]]&lt;&gt;"",ScheduledPayment,"")</f>
        <v>1342.0540575303476</v>
      </c>
      <c r="F34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49" s="177">
        <f>IF(PaymentSchedule[[#This Row],[PMT NO]]&lt;&gt;"",PaymentSchedule[[#This Row],[TOTAL PAYMENT]]-PaymentSchedule[[#This Row],[INTEREST]],"")</f>
        <v>1219.6538459263602</v>
      </c>
      <c r="I349" s="177">
        <f>IF(PaymentSchedule[[#This Row],[PMT NO]]&lt;&gt;"",PaymentSchedule[[#This Row],[BEGINNING BALANCE]]*(InterestRate/PaymentsPerYear),"")</f>
        <v>122.40021160398743</v>
      </c>
      <c r="J34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28156.396939030623</v>
      </c>
      <c r="K349" s="177">
        <f>IF(PaymentSchedule[[#This Row],[PMT NO]]&lt;&gt;"",SUM(INDEX(PaymentSchedule[INTEREST],1,1):PaymentSchedule[[#This Row],[INTEREST]]),"")</f>
        <v>231770.66838428797</v>
      </c>
      <c r="L349" s="178"/>
    </row>
    <row r="350" spans="2:12" x14ac:dyDescent="0.2">
      <c r="B350" s="175">
        <f>IF(LoanIsGood,IF(ROW()-ROW(PaymentSchedule[[#Headers],[PMT NO]])&gt;ScheduledNumberOfPayments,"",ROW()-ROW(PaymentSchedule[[#Headers],[PMT NO]])),"")</f>
        <v>339</v>
      </c>
      <c r="C350" s="176">
        <f>IF(PaymentSchedule[[#This Row],[PMT NO]]&lt;&gt;"",EOMONTH(LoanStartDate,ROW(PaymentSchedule[[#This Row],[PMT NO]])-ROW(PaymentSchedule[[#Headers],[PMT NO]])-2)+DAY(LoanStartDate),"")</f>
        <v>55305</v>
      </c>
      <c r="D350" s="177">
        <f>IF(PaymentSchedule[[#This Row],[PMT NO]]&lt;&gt;"",IF(ROW()-ROW(PaymentSchedule[[#Headers],[BEGINNING BALANCE]])=1,LoanAmount,INDEX(PaymentSchedule[ENDING BALANCE],ROW()-ROW(PaymentSchedule[[#Headers],[BEGINNING BALANCE]])-1)),"")</f>
        <v>28156.396939030623</v>
      </c>
      <c r="E350" s="177">
        <f>IF(PaymentSchedule[[#This Row],[PMT NO]]&lt;&gt;"",ScheduledPayment,"")</f>
        <v>1342.0540575303476</v>
      </c>
      <c r="F35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0" s="177">
        <f>IF(PaymentSchedule[[#This Row],[PMT NO]]&lt;&gt;"",PaymentSchedule[[#This Row],[TOTAL PAYMENT]]-PaymentSchedule[[#This Row],[INTEREST]],"")</f>
        <v>1224.7357369510532</v>
      </c>
      <c r="I350" s="177">
        <f>IF(PaymentSchedule[[#This Row],[PMT NO]]&lt;&gt;"",PaymentSchedule[[#This Row],[BEGINNING BALANCE]]*(InterestRate/PaymentsPerYear),"")</f>
        <v>117.31832057929427</v>
      </c>
      <c r="J35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26931.661202079569</v>
      </c>
      <c r="K350" s="177">
        <f>IF(PaymentSchedule[[#This Row],[PMT NO]]&lt;&gt;"",SUM(INDEX(PaymentSchedule[INTEREST],1,1):PaymentSchedule[[#This Row],[INTEREST]]),"")</f>
        <v>231887.98670486727</v>
      </c>
      <c r="L350" s="178"/>
    </row>
    <row r="351" spans="2:12" x14ac:dyDescent="0.2">
      <c r="B351" s="175">
        <f>IF(LoanIsGood,IF(ROW()-ROW(PaymentSchedule[[#Headers],[PMT NO]])&gt;ScheduledNumberOfPayments,"",ROW()-ROW(PaymentSchedule[[#Headers],[PMT NO]])),"")</f>
        <v>340</v>
      </c>
      <c r="C351" s="176">
        <f>IF(PaymentSchedule[[#This Row],[PMT NO]]&lt;&gt;"",EOMONTH(LoanStartDate,ROW(PaymentSchedule[[#This Row],[PMT NO]])-ROW(PaymentSchedule[[#Headers],[PMT NO]])-2)+DAY(LoanStartDate),"")</f>
        <v>55335</v>
      </c>
      <c r="D351" s="177">
        <f>IF(PaymentSchedule[[#This Row],[PMT NO]]&lt;&gt;"",IF(ROW()-ROW(PaymentSchedule[[#Headers],[BEGINNING BALANCE]])=1,LoanAmount,INDEX(PaymentSchedule[ENDING BALANCE],ROW()-ROW(PaymentSchedule[[#Headers],[BEGINNING BALANCE]])-1)),"")</f>
        <v>26931.661202079569</v>
      </c>
      <c r="E351" s="177">
        <f>IF(PaymentSchedule[[#This Row],[PMT NO]]&lt;&gt;"",ScheduledPayment,"")</f>
        <v>1342.0540575303476</v>
      </c>
      <c r="F35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1" s="177">
        <f>IF(PaymentSchedule[[#This Row],[PMT NO]]&lt;&gt;"",PaymentSchedule[[#This Row],[TOTAL PAYMENT]]-PaymentSchedule[[#This Row],[INTEREST]],"")</f>
        <v>1229.8388025216827</v>
      </c>
      <c r="I351" s="177">
        <f>IF(PaymentSchedule[[#This Row],[PMT NO]]&lt;&gt;"",PaymentSchedule[[#This Row],[BEGINNING BALANCE]]*(InterestRate/PaymentsPerYear),"")</f>
        <v>112.21525500866487</v>
      </c>
      <c r="J35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25701.822399557888</v>
      </c>
      <c r="K351" s="177">
        <f>IF(PaymentSchedule[[#This Row],[PMT NO]]&lt;&gt;"",SUM(INDEX(PaymentSchedule[INTEREST],1,1):PaymentSchedule[[#This Row],[INTEREST]]),"")</f>
        <v>232000.20195987594</v>
      </c>
      <c r="L351" s="178"/>
    </row>
    <row r="352" spans="2:12" x14ac:dyDescent="0.2">
      <c r="B352" s="175">
        <f>IF(LoanIsGood,IF(ROW()-ROW(PaymentSchedule[[#Headers],[PMT NO]])&gt;ScheduledNumberOfPayments,"",ROW()-ROW(PaymentSchedule[[#Headers],[PMT NO]])),"")</f>
        <v>341</v>
      </c>
      <c r="C352" s="176">
        <f>IF(PaymentSchedule[[#This Row],[PMT NO]]&lt;&gt;"",EOMONTH(LoanStartDate,ROW(PaymentSchedule[[#This Row],[PMT NO]])-ROW(PaymentSchedule[[#Headers],[PMT NO]])-2)+DAY(LoanStartDate),"")</f>
        <v>55366</v>
      </c>
      <c r="D352" s="177">
        <f>IF(PaymentSchedule[[#This Row],[PMT NO]]&lt;&gt;"",IF(ROW()-ROW(PaymentSchedule[[#Headers],[BEGINNING BALANCE]])=1,LoanAmount,INDEX(PaymentSchedule[ENDING BALANCE],ROW()-ROW(PaymentSchedule[[#Headers],[BEGINNING BALANCE]])-1)),"")</f>
        <v>25701.822399557888</v>
      </c>
      <c r="E352" s="177">
        <f>IF(PaymentSchedule[[#This Row],[PMT NO]]&lt;&gt;"",ScheduledPayment,"")</f>
        <v>1342.0540575303476</v>
      </c>
      <c r="F35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2" s="177">
        <f>IF(PaymentSchedule[[#This Row],[PMT NO]]&lt;&gt;"",PaymentSchedule[[#This Row],[TOTAL PAYMENT]]-PaymentSchedule[[#This Row],[INTEREST]],"")</f>
        <v>1234.963130865523</v>
      </c>
      <c r="I352" s="177">
        <f>IF(PaymentSchedule[[#This Row],[PMT NO]]&lt;&gt;"",PaymentSchedule[[#This Row],[BEGINNING BALANCE]]*(InterestRate/PaymentsPerYear),"")</f>
        <v>107.09092666482454</v>
      </c>
      <c r="J35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24466.859268692366</v>
      </c>
      <c r="K352" s="177">
        <f>IF(PaymentSchedule[[#This Row],[PMT NO]]&lt;&gt;"",SUM(INDEX(PaymentSchedule[INTEREST],1,1):PaymentSchedule[[#This Row],[INTEREST]]),"")</f>
        <v>232107.29288654076</v>
      </c>
      <c r="L352" s="178"/>
    </row>
    <row r="353" spans="2:12" x14ac:dyDescent="0.2">
      <c r="B353" s="175">
        <f>IF(LoanIsGood,IF(ROW()-ROW(PaymentSchedule[[#Headers],[PMT NO]])&gt;ScheduledNumberOfPayments,"",ROW()-ROW(PaymentSchedule[[#Headers],[PMT NO]])),"")</f>
        <v>342</v>
      </c>
      <c r="C353" s="176">
        <f>IF(PaymentSchedule[[#This Row],[PMT NO]]&lt;&gt;"",EOMONTH(LoanStartDate,ROW(PaymentSchedule[[#This Row],[PMT NO]])-ROW(PaymentSchedule[[#Headers],[PMT NO]])-2)+DAY(LoanStartDate),"")</f>
        <v>55397</v>
      </c>
      <c r="D353" s="177">
        <f>IF(PaymentSchedule[[#This Row],[PMT NO]]&lt;&gt;"",IF(ROW()-ROW(PaymentSchedule[[#Headers],[BEGINNING BALANCE]])=1,LoanAmount,INDEX(PaymentSchedule[ENDING BALANCE],ROW()-ROW(PaymentSchedule[[#Headers],[BEGINNING BALANCE]])-1)),"")</f>
        <v>24466.859268692366</v>
      </c>
      <c r="E353" s="177">
        <f>IF(PaymentSchedule[[#This Row],[PMT NO]]&lt;&gt;"",ScheduledPayment,"")</f>
        <v>1342.0540575303476</v>
      </c>
      <c r="F35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3" s="177">
        <f>IF(PaymentSchedule[[#This Row],[PMT NO]]&lt;&gt;"",PaymentSchedule[[#This Row],[TOTAL PAYMENT]]-PaymentSchedule[[#This Row],[INTEREST]],"")</f>
        <v>1240.1088105774627</v>
      </c>
      <c r="I353" s="177">
        <f>IF(PaymentSchedule[[#This Row],[PMT NO]]&lt;&gt;"",PaymentSchedule[[#This Row],[BEGINNING BALANCE]]*(InterestRate/PaymentsPerYear),"")</f>
        <v>101.94524695288486</v>
      </c>
      <c r="J35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23226.750458114904</v>
      </c>
      <c r="K353" s="177">
        <f>IF(PaymentSchedule[[#This Row],[PMT NO]]&lt;&gt;"",SUM(INDEX(PaymentSchedule[INTEREST],1,1):PaymentSchedule[[#This Row],[INTEREST]]),"")</f>
        <v>232209.23813349364</v>
      </c>
      <c r="L353" s="178"/>
    </row>
    <row r="354" spans="2:12" x14ac:dyDescent="0.2">
      <c r="B354" s="175">
        <f>IF(LoanIsGood,IF(ROW()-ROW(PaymentSchedule[[#Headers],[PMT NO]])&gt;ScheduledNumberOfPayments,"",ROW()-ROW(PaymentSchedule[[#Headers],[PMT NO]])),"")</f>
        <v>343</v>
      </c>
      <c r="C354" s="176">
        <f>IF(PaymentSchedule[[#This Row],[PMT NO]]&lt;&gt;"",EOMONTH(LoanStartDate,ROW(PaymentSchedule[[#This Row],[PMT NO]])-ROW(PaymentSchedule[[#Headers],[PMT NO]])-2)+DAY(LoanStartDate),"")</f>
        <v>55427</v>
      </c>
      <c r="D354" s="177">
        <f>IF(PaymentSchedule[[#This Row],[PMT NO]]&lt;&gt;"",IF(ROW()-ROW(PaymentSchedule[[#Headers],[BEGINNING BALANCE]])=1,LoanAmount,INDEX(PaymentSchedule[ENDING BALANCE],ROW()-ROW(PaymentSchedule[[#Headers],[BEGINNING BALANCE]])-1)),"")</f>
        <v>23226.750458114904</v>
      </c>
      <c r="E354" s="177">
        <f>IF(PaymentSchedule[[#This Row],[PMT NO]]&lt;&gt;"",ScheduledPayment,"")</f>
        <v>1342.0540575303476</v>
      </c>
      <c r="F35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4" s="177">
        <f>IF(PaymentSchedule[[#This Row],[PMT NO]]&lt;&gt;"",PaymentSchedule[[#This Row],[TOTAL PAYMENT]]-PaymentSchedule[[#This Row],[INTEREST]],"")</f>
        <v>1245.2759306215355</v>
      </c>
      <c r="I354" s="177">
        <f>IF(PaymentSchedule[[#This Row],[PMT NO]]&lt;&gt;"",PaymentSchedule[[#This Row],[BEGINNING BALANCE]]*(InterestRate/PaymentsPerYear),"")</f>
        <v>96.778126908812098</v>
      </c>
      <c r="J35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21981.47452749337</v>
      </c>
      <c r="K354" s="177">
        <f>IF(PaymentSchedule[[#This Row],[PMT NO]]&lt;&gt;"",SUM(INDEX(PaymentSchedule[INTEREST],1,1):PaymentSchedule[[#This Row],[INTEREST]]),"")</f>
        <v>232306.01626040245</v>
      </c>
      <c r="L354" s="178"/>
    </row>
    <row r="355" spans="2:12" x14ac:dyDescent="0.2">
      <c r="B355" s="175">
        <f>IF(LoanIsGood,IF(ROW()-ROW(PaymentSchedule[[#Headers],[PMT NO]])&gt;ScheduledNumberOfPayments,"",ROW()-ROW(PaymentSchedule[[#Headers],[PMT NO]])),"")</f>
        <v>344</v>
      </c>
      <c r="C355" s="176">
        <f>IF(PaymentSchedule[[#This Row],[PMT NO]]&lt;&gt;"",EOMONTH(LoanStartDate,ROW(PaymentSchedule[[#This Row],[PMT NO]])-ROW(PaymentSchedule[[#Headers],[PMT NO]])-2)+DAY(LoanStartDate),"")</f>
        <v>55458</v>
      </c>
      <c r="D355" s="177">
        <f>IF(PaymentSchedule[[#This Row],[PMT NO]]&lt;&gt;"",IF(ROW()-ROW(PaymentSchedule[[#Headers],[BEGINNING BALANCE]])=1,LoanAmount,INDEX(PaymentSchedule[ENDING BALANCE],ROW()-ROW(PaymentSchedule[[#Headers],[BEGINNING BALANCE]])-1)),"")</f>
        <v>21981.47452749337</v>
      </c>
      <c r="E355" s="177">
        <f>IF(PaymentSchedule[[#This Row],[PMT NO]]&lt;&gt;"",ScheduledPayment,"")</f>
        <v>1342.0540575303476</v>
      </c>
      <c r="F35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5" s="177">
        <f>IF(PaymentSchedule[[#This Row],[PMT NO]]&lt;&gt;"",PaymentSchedule[[#This Row],[TOTAL PAYMENT]]-PaymentSchedule[[#This Row],[INTEREST]],"")</f>
        <v>1250.4645803324586</v>
      </c>
      <c r="I355" s="177">
        <f>IF(PaymentSchedule[[#This Row],[PMT NO]]&lt;&gt;"",PaymentSchedule[[#This Row],[BEGINNING BALANCE]]*(InterestRate/PaymentsPerYear),"")</f>
        <v>91.589477197889039</v>
      </c>
      <c r="J35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20731.00994716091</v>
      </c>
      <c r="K355" s="177">
        <f>IF(PaymentSchedule[[#This Row],[PMT NO]]&lt;&gt;"",SUM(INDEX(PaymentSchedule[INTEREST],1,1):PaymentSchedule[[#This Row],[INTEREST]]),"")</f>
        <v>232397.60573760033</v>
      </c>
      <c r="L355" s="178"/>
    </row>
    <row r="356" spans="2:12" x14ac:dyDescent="0.2">
      <c r="B356" s="175">
        <f>IF(LoanIsGood,IF(ROW()-ROW(PaymentSchedule[[#Headers],[PMT NO]])&gt;ScheduledNumberOfPayments,"",ROW()-ROW(PaymentSchedule[[#Headers],[PMT NO]])),"")</f>
        <v>345</v>
      </c>
      <c r="C356" s="176">
        <f>IF(PaymentSchedule[[#This Row],[PMT NO]]&lt;&gt;"",EOMONTH(LoanStartDate,ROW(PaymentSchedule[[#This Row],[PMT NO]])-ROW(PaymentSchedule[[#Headers],[PMT NO]])-2)+DAY(LoanStartDate),"")</f>
        <v>55488</v>
      </c>
      <c r="D356" s="177">
        <f>IF(PaymentSchedule[[#This Row],[PMT NO]]&lt;&gt;"",IF(ROW()-ROW(PaymentSchedule[[#Headers],[BEGINNING BALANCE]])=1,LoanAmount,INDEX(PaymentSchedule[ENDING BALANCE],ROW()-ROW(PaymentSchedule[[#Headers],[BEGINNING BALANCE]])-1)),"")</f>
        <v>20731.00994716091</v>
      </c>
      <c r="E356" s="177">
        <f>IF(PaymentSchedule[[#This Row],[PMT NO]]&lt;&gt;"",ScheduledPayment,"")</f>
        <v>1342.0540575303476</v>
      </c>
      <c r="F35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6" s="177">
        <f>IF(PaymentSchedule[[#This Row],[PMT NO]]&lt;&gt;"",PaymentSchedule[[#This Row],[TOTAL PAYMENT]]-PaymentSchedule[[#This Row],[INTEREST]],"")</f>
        <v>1255.674849417177</v>
      </c>
      <c r="I356" s="177">
        <f>IF(PaymentSchedule[[#This Row],[PMT NO]]&lt;&gt;"",PaymentSchedule[[#This Row],[BEGINNING BALANCE]]*(InterestRate/PaymentsPerYear),"")</f>
        <v>86.379208113170463</v>
      </c>
      <c r="J35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19475.335097743733</v>
      </c>
      <c r="K356" s="177">
        <f>IF(PaymentSchedule[[#This Row],[PMT NO]]&lt;&gt;"",SUM(INDEX(PaymentSchedule[INTEREST],1,1):PaymentSchedule[[#This Row],[INTEREST]]),"")</f>
        <v>232483.98494571351</v>
      </c>
      <c r="L356" s="178"/>
    </row>
    <row r="357" spans="2:12" x14ac:dyDescent="0.2">
      <c r="B357" s="175">
        <f>IF(LoanIsGood,IF(ROW()-ROW(PaymentSchedule[[#Headers],[PMT NO]])&gt;ScheduledNumberOfPayments,"",ROW()-ROW(PaymentSchedule[[#Headers],[PMT NO]])),"")</f>
        <v>346</v>
      </c>
      <c r="C357" s="176">
        <f>IF(PaymentSchedule[[#This Row],[PMT NO]]&lt;&gt;"",EOMONTH(LoanStartDate,ROW(PaymentSchedule[[#This Row],[PMT NO]])-ROW(PaymentSchedule[[#Headers],[PMT NO]])-2)+DAY(LoanStartDate),"")</f>
        <v>55519</v>
      </c>
      <c r="D357" s="177">
        <f>IF(PaymentSchedule[[#This Row],[PMT NO]]&lt;&gt;"",IF(ROW()-ROW(PaymentSchedule[[#Headers],[BEGINNING BALANCE]])=1,LoanAmount,INDEX(PaymentSchedule[ENDING BALANCE],ROW()-ROW(PaymentSchedule[[#Headers],[BEGINNING BALANCE]])-1)),"")</f>
        <v>19475.335097743733</v>
      </c>
      <c r="E357" s="177">
        <f>IF(PaymentSchedule[[#This Row],[PMT NO]]&lt;&gt;"",ScheduledPayment,"")</f>
        <v>1342.0540575303476</v>
      </c>
      <c r="F35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7" s="177">
        <f>IF(PaymentSchedule[[#This Row],[PMT NO]]&lt;&gt;"",PaymentSchedule[[#This Row],[TOTAL PAYMENT]]-PaymentSchedule[[#This Row],[INTEREST]],"")</f>
        <v>1260.9068279564153</v>
      </c>
      <c r="I357" s="177">
        <f>IF(PaymentSchedule[[#This Row],[PMT NO]]&lt;&gt;"",PaymentSchedule[[#This Row],[BEGINNING BALANCE]]*(InterestRate/PaymentsPerYear),"")</f>
        <v>81.147229573932222</v>
      </c>
      <c r="J35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18214.428269787317</v>
      </c>
      <c r="K357" s="177">
        <f>IF(PaymentSchedule[[#This Row],[PMT NO]]&lt;&gt;"",SUM(INDEX(PaymentSchedule[INTEREST],1,1):PaymentSchedule[[#This Row],[INTEREST]]),"")</f>
        <v>232565.13217528744</v>
      </c>
      <c r="L357" s="178"/>
    </row>
    <row r="358" spans="2:12" x14ac:dyDescent="0.2">
      <c r="B358" s="175">
        <f>IF(LoanIsGood,IF(ROW()-ROW(PaymentSchedule[[#Headers],[PMT NO]])&gt;ScheduledNumberOfPayments,"",ROW()-ROW(PaymentSchedule[[#Headers],[PMT NO]])),"")</f>
        <v>347</v>
      </c>
      <c r="C358" s="176">
        <f>IF(PaymentSchedule[[#This Row],[PMT NO]]&lt;&gt;"",EOMONTH(LoanStartDate,ROW(PaymentSchedule[[#This Row],[PMT NO]])-ROW(PaymentSchedule[[#Headers],[PMT NO]])-2)+DAY(LoanStartDate),"")</f>
        <v>55550</v>
      </c>
      <c r="D358" s="177">
        <f>IF(PaymentSchedule[[#This Row],[PMT NO]]&lt;&gt;"",IF(ROW()-ROW(PaymentSchedule[[#Headers],[BEGINNING BALANCE]])=1,LoanAmount,INDEX(PaymentSchedule[ENDING BALANCE],ROW()-ROW(PaymentSchedule[[#Headers],[BEGINNING BALANCE]])-1)),"")</f>
        <v>18214.428269787317</v>
      </c>
      <c r="E358" s="177">
        <f>IF(PaymentSchedule[[#This Row],[PMT NO]]&lt;&gt;"",ScheduledPayment,"")</f>
        <v>1342.0540575303476</v>
      </c>
      <c r="F35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8" s="177">
        <f>IF(PaymentSchedule[[#This Row],[PMT NO]]&lt;&gt;"",PaymentSchedule[[#This Row],[TOTAL PAYMENT]]-PaymentSchedule[[#This Row],[INTEREST]],"")</f>
        <v>1266.1606064062337</v>
      </c>
      <c r="I358" s="177">
        <f>IF(PaymentSchedule[[#This Row],[PMT NO]]&lt;&gt;"",PaymentSchedule[[#This Row],[BEGINNING BALANCE]]*(InterestRate/PaymentsPerYear),"")</f>
        <v>75.893451124113824</v>
      </c>
      <c r="J35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16948.267663381084</v>
      </c>
      <c r="K358" s="177">
        <f>IF(PaymentSchedule[[#This Row],[PMT NO]]&lt;&gt;"",SUM(INDEX(PaymentSchedule[INTEREST],1,1):PaymentSchedule[[#This Row],[INTEREST]]),"")</f>
        <v>232641.02562641155</v>
      </c>
      <c r="L358" s="178"/>
    </row>
    <row r="359" spans="2:12" x14ac:dyDescent="0.2">
      <c r="B359" s="175">
        <f>IF(LoanIsGood,IF(ROW()-ROW(PaymentSchedule[[#Headers],[PMT NO]])&gt;ScheduledNumberOfPayments,"",ROW()-ROW(PaymentSchedule[[#Headers],[PMT NO]])),"")</f>
        <v>348</v>
      </c>
      <c r="C359" s="176">
        <f>IF(PaymentSchedule[[#This Row],[PMT NO]]&lt;&gt;"",EOMONTH(LoanStartDate,ROW(PaymentSchedule[[#This Row],[PMT NO]])-ROW(PaymentSchedule[[#Headers],[PMT NO]])-2)+DAY(LoanStartDate),"")</f>
        <v>55579</v>
      </c>
      <c r="D359" s="177">
        <f>IF(PaymentSchedule[[#This Row],[PMT NO]]&lt;&gt;"",IF(ROW()-ROW(PaymentSchedule[[#Headers],[BEGINNING BALANCE]])=1,LoanAmount,INDEX(PaymentSchedule[ENDING BALANCE],ROW()-ROW(PaymentSchedule[[#Headers],[BEGINNING BALANCE]])-1)),"")</f>
        <v>16948.267663381084</v>
      </c>
      <c r="E359" s="177">
        <f>IF(PaymentSchedule[[#This Row],[PMT NO]]&lt;&gt;"",ScheduledPayment,"")</f>
        <v>1342.0540575303476</v>
      </c>
      <c r="F35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59" s="177">
        <f>IF(PaymentSchedule[[#This Row],[PMT NO]]&lt;&gt;"",PaymentSchedule[[#This Row],[TOTAL PAYMENT]]-PaymentSchedule[[#This Row],[INTEREST]],"")</f>
        <v>1271.436275599593</v>
      </c>
      <c r="I359" s="177">
        <f>IF(PaymentSchedule[[#This Row],[PMT NO]]&lt;&gt;"",PaymentSchedule[[#This Row],[BEGINNING BALANCE]]*(InterestRate/PaymentsPerYear),"")</f>
        <v>70.617781930754518</v>
      </c>
      <c r="J35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15676.831387781491</v>
      </c>
      <c r="K359" s="177">
        <f>IF(PaymentSchedule[[#This Row],[PMT NO]]&lt;&gt;"",SUM(INDEX(PaymentSchedule[INTEREST],1,1):PaymentSchedule[[#This Row],[INTEREST]]),"")</f>
        <v>232711.64340834229</v>
      </c>
      <c r="L359" s="178"/>
    </row>
    <row r="360" spans="2:12" x14ac:dyDescent="0.2">
      <c r="B360" s="175">
        <f>IF(LoanIsGood,IF(ROW()-ROW(PaymentSchedule[[#Headers],[PMT NO]])&gt;ScheduledNumberOfPayments,"",ROW()-ROW(PaymentSchedule[[#Headers],[PMT NO]])),"")</f>
        <v>349</v>
      </c>
      <c r="C360" s="176">
        <f>IF(PaymentSchedule[[#This Row],[PMT NO]]&lt;&gt;"",EOMONTH(LoanStartDate,ROW(PaymentSchedule[[#This Row],[PMT NO]])-ROW(PaymentSchedule[[#Headers],[PMT NO]])-2)+DAY(LoanStartDate),"")</f>
        <v>55610</v>
      </c>
      <c r="D360" s="177">
        <f>IF(PaymentSchedule[[#This Row],[PMT NO]]&lt;&gt;"",IF(ROW()-ROW(PaymentSchedule[[#Headers],[BEGINNING BALANCE]])=1,LoanAmount,INDEX(PaymentSchedule[ENDING BALANCE],ROW()-ROW(PaymentSchedule[[#Headers],[BEGINNING BALANCE]])-1)),"")</f>
        <v>15676.831387781491</v>
      </c>
      <c r="E360" s="177">
        <f>IF(PaymentSchedule[[#This Row],[PMT NO]]&lt;&gt;"",ScheduledPayment,"")</f>
        <v>1342.0540575303476</v>
      </c>
      <c r="F36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0" s="177">
        <f>IF(PaymentSchedule[[#This Row],[PMT NO]]&lt;&gt;"",PaymentSchedule[[#This Row],[TOTAL PAYMENT]]-PaymentSchedule[[#This Row],[INTEREST]],"")</f>
        <v>1276.7339267479247</v>
      </c>
      <c r="I360" s="177">
        <f>IF(PaymentSchedule[[#This Row],[PMT NO]]&lt;&gt;"",PaymentSchedule[[#This Row],[BEGINNING BALANCE]]*(InterestRate/PaymentsPerYear),"")</f>
        <v>65.320130782422879</v>
      </c>
      <c r="J36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14400.097461033565</v>
      </c>
      <c r="K360" s="177">
        <f>IF(PaymentSchedule[[#This Row],[PMT NO]]&lt;&gt;"",SUM(INDEX(PaymentSchedule[INTEREST],1,1):PaymentSchedule[[#This Row],[INTEREST]]),"")</f>
        <v>232776.96353912473</v>
      </c>
      <c r="L360" s="178"/>
    </row>
    <row r="361" spans="2:12" x14ac:dyDescent="0.2">
      <c r="B361" s="175">
        <f>IF(LoanIsGood,IF(ROW()-ROW(PaymentSchedule[[#Headers],[PMT NO]])&gt;ScheduledNumberOfPayments,"",ROW()-ROW(PaymentSchedule[[#Headers],[PMT NO]])),"")</f>
        <v>350</v>
      </c>
      <c r="C361" s="176">
        <f>IF(PaymentSchedule[[#This Row],[PMT NO]]&lt;&gt;"",EOMONTH(LoanStartDate,ROW(PaymentSchedule[[#This Row],[PMT NO]])-ROW(PaymentSchedule[[#Headers],[PMT NO]])-2)+DAY(LoanStartDate),"")</f>
        <v>55640</v>
      </c>
      <c r="D361" s="177">
        <f>IF(PaymentSchedule[[#This Row],[PMT NO]]&lt;&gt;"",IF(ROW()-ROW(PaymentSchedule[[#Headers],[BEGINNING BALANCE]])=1,LoanAmount,INDEX(PaymentSchedule[ENDING BALANCE],ROW()-ROW(PaymentSchedule[[#Headers],[BEGINNING BALANCE]])-1)),"")</f>
        <v>14400.097461033565</v>
      </c>
      <c r="E361" s="177">
        <f>IF(PaymentSchedule[[#This Row],[PMT NO]]&lt;&gt;"",ScheduledPayment,"")</f>
        <v>1342.0540575303476</v>
      </c>
      <c r="F36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1" s="177">
        <f>IF(PaymentSchedule[[#This Row],[PMT NO]]&lt;&gt;"",PaymentSchedule[[#This Row],[TOTAL PAYMENT]]-PaymentSchedule[[#This Row],[INTEREST]],"")</f>
        <v>1282.0536514427076</v>
      </c>
      <c r="I361" s="177">
        <f>IF(PaymentSchedule[[#This Row],[PMT NO]]&lt;&gt;"",PaymentSchedule[[#This Row],[BEGINNING BALANCE]]*(InterestRate/PaymentsPerYear),"")</f>
        <v>60.000406087639853</v>
      </c>
      <c r="J36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13118.043809590858</v>
      </c>
      <c r="K361" s="177">
        <f>IF(PaymentSchedule[[#This Row],[PMT NO]]&lt;&gt;"",SUM(INDEX(PaymentSchedule[INTEREST],1,1):PaymentSchedule[[#This Row],[INTEREST]]),"")</f>
        <v>232836.96394521237</v>
      </c>
      <c r="L361" s="178"/>
    </row>
    <row r="362" spans="2:12" x14ac:dyDescent="0.2">
      <c r="B362" s="175">
        <f>IF(LoanIsGood,IF(ROW()-ROW(PaymentSchedule[[#Headers],[PMT NO]])&gt;ScheduledNumberOfPayments,"",ROW()-ROW(PaymentSchedule[[#Headers],[PMT NO]])),"")</f>
        <v>351</v>
      </c>
      <c r="C362" s="176">
        <f>IF(PaymentSchedule[[#This Row],[PMT NO]]&lt;&gt;"",EOMONTH(LoanStartDate,ROW(PaymentSchedule[[#This Row],[PMT NO]])-ROW(PaymentSchedule[[#Headers],[PMT NO]])-2)+DAY(LoanStartDate),"")</f>
        <v>55671</v>
      </c>
      <c r="D362" s="177">
        <f>IF(PaymentSchedule[[#This Row],[PMT NO]]&lt;&gt;"",IF(ROW()-ROW(PaymentSchedule[[#Headers],[BEGINNING BALANCE]])=1,LoanAmount,INDEX(PaymentSchedule[ENDING BALANCE],ROW()-ROW(PaymentSchedule[[#Headers],[BEGINNING BALANCE]])-1)),"")</f>
        <v>13118.043809590858</v>
      </c>
      <c r="E362" s="177">
        <f>IF(PaymentSchedule[[#This Row],[PMT NO]]&lt;&gt;"",ScheduledPayment,"")</f>
        <v>1342.0540575303476</v>
      </c>
      <c r="F362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2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2" s="177">
        <f>IF(PaymentSchedule[[#This Row],[PMT NO]]&lt;&gt;"",PaymentSchedule[[#This Row],[TOTAL PAYMENT]]-PaymentSchedule[[#This Row],[INTEREST]],"")</f>
        <v>1287.3955416570523</v>
      </c>
      <c r="I362" s="177">
        <f>IF(PaymentSchedule[[#This Row],[PMT NO]]&lt;&gt;"",PaymentSchedule[[#This Row],[BEGINNING BALANCE]]*(InterestRate/PaymentsPerYear),"")</f>
        <v>54.658515873295237</v>
      </c>
      <c r="J362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11830.648267933806</v>
      </c>
      <c r="K362" s="177">
        <f>IF(PaymentSchedule[[#This Row],[PMT NO]]&lt;&gt;"",SUM(INDEX(PaymentSchedule[INTEREST],1,1):PaymentSchedule[[#This Row],[INTEREST]]),"")</f>
        <v>232891.62246108567</v>
      </c>
      <c r="L362" s="178"/>
    </row>
    <row r="363" spans="2:12" x14ac:dyDescent="0.2">
      <c r="B363" s="175">
        <f>IF(LoanIsGood,IF(ROW()-ROW(PaymentSchedule[[#Headers],[PMT NO]])&gt;ScheduledNumberOfPayments,"",ROW()-ROW(PaymentSchedule[[#Headers],[PMT NO]])),"")</f>
        <v>352</v>
      </c>
      <c r="C363" s="176">
        <f>IF(PaymentSchedule[[#This Row],[PMT NO]]&lt;&gt;"",EOMONTH(LoanStartDate,ROW(PaymentSchedule[[#This Row],[PMT NO]])-ROW(PaymentSchedule[[#Headers],[PMT NO]])-2)+DAY(LoanStartDate),"")</f>
        <v>55701</v>
      </c>
      <c r="D363" s="177">
        <f>IF(PaymentSchedule[[#This Row],[PMT NO]]&lt;&gt;"",IF(ROW()-ROW(PaymentSchedule[[#Headers],[BEGINNING BALANCE]])=1,LoanAmount,INDEX(PaymentSchedule[ENDING BALANCE],ROW()-ROW(PaymentSchedule[[#Headers],[BEGINNING BALANCE]])-1)),"")</f>
        <v>11830.648267933806</v>
      </c>
      <c r="E363" s="177">
        <f>IF(PaymentSchedule[[#This Row],[PMT NO]]&lt;&gt;"",ScheduledPayment,"")</f>
        <v>1342.0540575303476</v>
      </c>
      <c r="F363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3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3" s="177">
        <f>IF(PaymentSchedule[[#This Row],[PMT NO]]&lt;&gt;"",PaymentSchedule[[#This Row],[TOTAL PAYMENT]]-PaymentSchedule[[#This Row],[INTEREST]],"")</f>
        <v>1292.7596897472899</v>
      </c>
      <c r="I363" s="177">
        <f>IF(PaymentSchedule[[#This Row],[PMT NO]]&lt;&gt;"",PaymentSchedule[[#This Row],[BEGINNING BALANCE]]*(InterestRate/PaymentsPerYear),"")</f>
        <v>49.294367783057524</v>
      </c>
      <c r="J363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10537.888578186516</v>
      </c>
      <c r="K363" s="177">
        <f>IF(PaymentSchedule[[#This Row],[PMT NO]]&lt;&gt;"",SUM(INDEX(PaymentSchedule[INTEREST],1,1):PaymentSchedule[[#This Row],[INTEREST]]),"")</f>
        <v>232940.91682886874</v>
      </c>
      <c r="L363" s="178"/>
    </row>
    <row r="364" spans="2:12" x14ac:dyDescent="0.2">
      <c r="B364" s="175">
        <f>IF(LoanIsGood,IF(ROW()-ROW(PaymentSchedule[[#Headers],[PMT NO]])&gt;ScheduledNumberOfPayments,"",ROW()-ROW(PaymentSchedule[[#Headers],[PMT NO]])),"")</f>
        <v>353</v>
      </c>
      <c r="C364" s="176">
        <f>IF(PaymentSchedule[[#This Row],[PMT NO]]&lt;&gt;"",EOMONTH(LoanStartDate,ROW(PaymentSchedule[[#This Row],[PMT NO]])-ROW(PaymentSchedule[[#Headers],[PMT NO]])-2)+DAY(LoanStartDate),"")</f>
        <v>55732</v>
      </c>
      <c r="D364" s="177">
        <f>IF(PaymentSchedule[[#This Row],[PMT NO]]&lt;&gt;"",IF(ROW()-ROW(PaymentSchedule[[#Headers],[BEGINNING BALANCE]])=1,LoanAmount,INDEX(PaymentSchedule[ENDING BALANCE],ROW()-ROW(PaymentSchedule[[#Headers],[BEGINNING BALANCE]])-1)),"")</f>
        <v>10537.888578186516</v>
      </c>
      <c r="E364" s="177">
        <f>IF(PaymentSchedule[[#This Row],[PMT NO]]&lt;&gt;"",ScheduledPayment,"")</f>
        <v>1342.0540575303476</v>
      </c>
      <c r="F364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4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4" s="177">
        <f>IF(PaymentSchedule[[#This Row],[PMT NO]]&lt;&gt;"",PaymentSchedule[[#This Row],[TOTAL PAYMENT]]-PaymentSchedule[[#This Row],[INTEREST]],"")</f>
        <v>1298.1461884545704</v>
      </c>
      <c r="I364" s="177">
        <f>IF(PaymentSchedule[[#This Row],[PMT NO]]&lt;&gt;"",PaymentSchedule[[#This Row],[BEGINNING BALANCE]]*(InterestRate/PaymentsPerYear),"")</f>
        <v>43.90786907577715</v>
      </c>
      <c r="J364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9239.7423897319459</v>
      </c>
      <c r="K364" s="177">
        <f>IF(PaymentSchedule[[#This Row],[PMT NO]]&lt;&gt;"",SUM(INDEX(PaymentSchedule[INTEREST],1,1):PaymentSchedule[[#This Row],[INTEREST]]),"")</f>
        <v>232984.82469794451</v>
      </c>
      <c r="L364" s="178"/>
    </row>
    <row r="365" spans="2:12" x14ac:dyDescent="0.2">
      <c r="B365" s="175">
        <f>IF(LoanIsGood,IF(ROW()-ROW(PaymentSchedule[[#Headers],[PMT NO]])&gt;ScheduledNumberOfPayments,"",ROW()-ROW(PaymentSchedule[[#Headers],[PMT NO]])),"")</f>
        <v>354</v>
      </c>
      <c r="C365" s="176">
        <f>IF(PaymentSchedule[[#This Row],[PMT NO]]&lt;&gt;"",EOMONTH(LoanStartDate,ROW(PaymentSchedule[[#This Row],[PMT NO]])-ROW(PaymentSchedule[[#Headers],[PMT NO]])-2)+DAY(LoanStartDate),"")</f>
        <v>55763</v>
      </c>
      <c r="D365" s="177">
        <f>IF(PaymentSchedule[[#This Row],[PMT NO]]&lt;&gt;"",IF(ROW()-ROW(PaymentSchedule[[#Headers],[BEGINNING BALANCE]])=1,LoanAmount,INDEX(PaymentSchedule[ENDING BALANCE],ROW()-ROW(PaymentSchedule[[#Headers],[BEGINNING BALANCE]])-1)),"")</f>
        <v>9239.7423897319459</v>
      </c>
      <c r="E365" s="177">
        <f>IF(PaymentSchedule[[#This Row],[PMT NO]]&lt;&gt;"",ScheduledPayment,"")</f>
        <v>1342.0540575303476</v>
      </c>
      <c r="F365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5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5" s="177">
        <f>IF(PaymentSchedule[[#This Row],[PMT NO]]&lt;&gt;"",PaymentSchedule[[#This Row],[TOTAL PAYMENT]]-PaymentSchedule[[#This Row],[INTEREST]],"")</f>
        <v>1303.5551309064645</v>
      </c>
      <c r="I365" s="177">
        <f>IF(PaymentSchedule[[#This Row],[PMT NO]]&lt;&gt;"",PaymentSchedule[[#This Row],[BEGINNING BALANCE]]*(InterestRate/PaymentsPerYear),"")</f>
        <v>38.498926623883108</v>
      </c>
      <c r="J365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7936.187258825481</v>
      </c>
      <c r="K365" s="177">
        <f>IF(PaymentSchedule[[#This Row],[PMT NO]]&lt;&gt;"",SUM(INDEX(PaymentSchedule[INTEREST],1,1):PaymentSchedule[[#This Row],[INTEREST]]),"")</f>
        <v>233023.32362456838</v>
      </c>
      <c r="L365" s="178"/>
    </row>
    <row r="366" spans="2:12" x14ac:dyDescent="0.2">
      <c r="B366" s="175">
        <f>IF(LoanIsGood,IF(ROW()-ROW(PaymentSchedule[[#Headers],[PMT NO]])&gt;ScheduledNumberOfPayments,"",ROW()-ROW(PaymentSchedule[[#Headers],[PMT NO]])),"")</f>
        <v>355</v>
      </c>
      <c r="C366" s="176">
        <f>IF(PaymentSchedule[[#This Row],[PMT NO]]&lt;&gt;"",EOMONTH(LoanStartDate,ROW(PaymentSchedule[[#This Row],[PMT NO]])-ROW(PaymentSchedule[[#Headers],[PMT NO]])-2)+DAY(LoanStartDate),"")</f>
        <v>55793</v>
      </c>
      <c r="D366" s="177">
        <f>IF(PaymentSchedule[[#This Row],[PMT NO]]&lt;&gt;"",IF(ROW()-ROW(PaymentSchedule[[#Headers],[BEGINNING BALANCE]])=1,LoanAmount,INDEX(PaymentSchedule[ENDING BALANCE],ROW()-ROW(PaymentSchedule[[#Headers],[BEGINNING BALANCE]])-1)),"")</f>
        <v>7936.187258825481</v>
      </c>
      <c r="E366" s="177">
        <f>IF(PaymentSchedule[[#This Row],[PMT NO]]&lt;&gt;"",ScheduledPayment,"")</f>
        <v>1342.0540575303476</v>
      </c>
      <c r="F366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6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6" s="177">
        <f>IF(PaymentSchedule[[#This Row],[PMT NO]]&lt;&gt;"",PaymentSchedule[[#This Row],[TOTAL PAYMENT]]-PaymentSchedule[[#This Row],[INTEREST]],"")</f>
        <v>1308.9866106185748</v>
      </c>
      <c r="I366" s="177">
        <f>IF(PaymentSchedule[[#This Row],[PMT NO]]&lt;&gt;"",PaymentSchedule[[#This Row],[BEGINNING BALANCE]]*(InterestRate/PaymentsPerYear),"")</f>
        <v>33.067446911772834</v>
      </c>
      <c r="J366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6627.2006482069064</v>
      </c>
      <c r="K366" s="177">
        <f>IF(PaymentSchedule[[#This Row],[PMT NO]]&lt;&gt;"",SUM(INDEX(PaymentSchedule[INTEREST],1,1):PaymentSchedule[[#This Row],[INTEREST]]),"")</f>
        <v>233056.39107148015</v>
      </c>
      <c r="L366" s="178"/>
    </row>
    <row r="367" spans="2:12" x14ac:dyDescent="0.2">
      <c r="B367" s="175">
        <f>IF(LoanIsGood,IF(ROW()-ROW(PaymentSchedule[[#Headers],[PMT NO]])&gt;ScheduledNumberOfPayments,"",ROW()-ROW(PaymentSchedule[[#Headers],[PMT NO]])),"")</f>
        <v>356</v>
      </c>
      <c r="C367" s="176">
        <f>IF(PaymentSchedule[[#This Row],[PMT NO]]&lt;&gt;"",EOMONTH(LoanStartDate,ROW(PaymentSchedule[[#This Row],[PMT NO]])-ROW(PaymentSchedule[[#Headers],[PMT NO]])-2)+DAY(LoanStartDate),"")</f>
        <v>55824</v>
      </c>
      <c r="D367" s="177">
        <f>IF(PaymentSchedule[[#This Row],[PMT NO]]&lt;&gt;"",IF(ROW()-ROW(PaymentSchedule[[#Headers],[BEGINNING BALANCE]])=1,LoanAmount,INDEX(PaymentSchedule[ENDING BALANCE],ROW()-ROW(PaymentSchedule[[#Headers],[BEGINNING BALANCE]])-1)),"")</f>
        <v>6627.2006482069064</v>
      </c>
      <c r="E367" s="177">
        <f>IF(PaymentSchedule[[#This Row],[PMT NO]]&lt;&gt;"",ScheduledPayment,"")</f>
        <v>1342.0540575303476</v>
      </c>
      <c r="F367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7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7" s="177">
        <f>IF(PaymentSchedule[[#This Row],[PMT NO]]&lt;&gt;"",PaymentSchedule[[#This Row],[TOTAL PAYMENT]]-PaymentSchedule[[#This Row],[INTEREST]],"")</f>
        <v>1314.440721496152</v>
      </c>
      <c r="I367" s="177">
        <f>IF(PaymentSchedule[[#This Row],[PMT NO]]&lt;&gt;"",PaymentSchedule[[#This Row],[BEGINNING BALANCE]]*(InterestRate/PaymentsPerYear),"")</f>
        <v>27.613336034195441</v>
      </c>
      <c r="J367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5312.7599267107544</v>
      </c>
      <c r="K367" s="177">
        <f>IF(PaymentSchedule[[#This Row],[PMT NO]]&lt;&gt;"",SUM(INDEX(PaymentSchedule[INTEREST],1,1):PaymentSchedule[[#This Row],[INTEREST]]),"")</f>
        <v>233084.00440751435</v>
      </c>
      <c r="L367" s="178"/>
    </row>
    <row r="368" spans="2:12" x14ac:dyDescent="0.2">
      <c r="B368" s="175">
        <f>IF(LoanIsGood,IF(ROW()-ROW(PaymentSchedule[[#Headers],[PMT NO]])&gt;ScheduledNumberOfPayments,"",ROW()-ROW(PaymentSchedule[[#Headers],[PMT NO]])),"")</f>
        <v>357</v>
      </c>
      <c r="C368" s="176">
        <f>IF(PaymentSchedule[[#This Row],[PMT NO]]&lt;&gt;"",EOMONTH(LoanStartDate,ROW(PaymentSchedule[[#This Row],[PMT NO]])-ROW(PaymentSchedule[[#Headers],[PMT NO]])-2)+DAY(LoanStartDate),"")</f>
        <v>55854</v>
      </c>
      <c r="D368" s="177">
        <f>IF(PaymentSchedule[[#This Row],[PMT NO]]&lt;&gt;"",IF(ROW()-ROW(PaymentSchedule[[#Headers],[BEGINNING BALANCE]])=1,LoanAmount,INDEX(PaymentSchedule[ENDING BALANCE],ROW()-ROW(PaymentSchedule[[#Headers],[BEGINNING BALANCE]])-1)),"")</f>
        <v>5312.7599267107544</v>
      </c>
      <c r="E368" s="177">
        <f>IF(PaymentSchedule[[#This Row],[PMT NO]]&lt;&gt;"",ScheduledPayment,"")</f>
        <v>1342.0540575303476</v>
      </c>
      <c r="F368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8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8" s="177">
        <f>IF(PaymentSchedule[[#This Row],[PMT NO]]&lt;&gt;"",PaymentSchedule[[#This Row],[TOTAL PAYMENT]]-PaymentSchedule[[#This Row],[INTEREST]],"")</f>
        <v>1319.9175578357194</v>
      </c>
      <c r="I368" s="177">
        <f>IF(PaymentSchedule[[#This Row],[PMT NO]]&lt;&gt;"",PaymentSchedule[[#This Row],[BEGINNING BALANCE]]*(InterestRate/PaymentsPerYear),"")</f>
        <v>22.136499694628142</v>
      </c>
      <c r="J368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3992.8423688750349</v>
      </c>
      <c r="K368" s="177">
        <f>IF(PaymentSchedule[[#This Row],[PMT NO]]&lt;&gt;"",SUM(INDEX(PaymentSchedule[INTEREST],1,1):PaymentSchedule[[#This Row],[INTEREST]]),"")</f>
        <v>233106.14090720899</v>
      </c>
      <c r="L368" s="178"/>
    </row>
    <row r="369" spans="2:12" x14ac:dyDescent="0.2">
      <c r="B369" s="175">
        <f>IF(LoanIsGood,IF(ROW()-ROW(PaymentSchedule[[#Headers],[PMT NO]])&gt;ScheduledNumberOfPayments,"",ROW()-ROW(PaymentSchedule[[#Headers],[PMT NO]])),"")</f>
        <v>358</v>
      </c>
      <c r="C369" s="176">
        <f>IF(PaymentSchedule[[#This Row],[PMT NO]]&lt;&gt;"",EOMONTH(LoanStartDate,ROW(PaymentSchedule[[#This Row],[PMT NO]])-ROW(PaymentSchedule[[#Headers],[PMT NO]])-2)+DAY(LoanStartDate),"")</f>
        <v>55885</v>
      </c>
      <c r="D369" s="177">
        <f>IF(PaymentSchedule[[#This Row],[PMT NO]]&lt;&gt;"",IF(ROW()-ROW(PaymentSchedule[[#Headers],[BEGINNING BALANCE]])=1,LoanAmount,INDEX(PaymentSchedule[ENDING BALANCE],ROW()-ROW(PaymentSchedule[[#Headers],[BEGINNING BALANCE]])-1)),"")</f>
        <v>3992.8423688750349</v>
      </c>
      <c r="E369" s="177">
        <f>IF(PaymentSchedule[[#This Row],[PMT NO]]&lt;&gt;"",ScheduledPayment,"")</f>
        <v>1342.0540575303476</v>
      </c>
      <c r="F369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9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69" s="177">
        <f>IF(PaymentSchedule[[#This Row],[PMT NO]]&lt;&gt;"",PaymentSchedule[[#This Row],[TOTAL PAYMENT]]-PaymentSchedule[[#This Row],[INTEREST]],"")</f>
        <v>1325.4172143267017</v>
      </c>
      <c r="I369" s="177">
        <f>IF(PaymentSchedule[[#This Row],[PMT NO]]&lt;&gt;"",PaymentSchedule[[#This Row],[BEGINNING BALANCE]]*(InterestRate/PaymentsPerYear),"")</f>
        <v>16.636843203645977</v>
      </c>
      <c r="J369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2667.425154548333</v>
      </c>
      <c r="K369" s="177">
        <f>IF(PaymentSchedule[[#This Row],[PMT NO]]&lt;&gt;"",SUM(INDEX(PaymentSchedule[INTEREST],1,1):PaymentSchedule[[#This Row],[INTEREST]]),"")</f>
        <v>233122.77775041264</v>
      </c>
      <c r="L369" s="178"/>
    </row>
    <row r="370" spans="2:12" x14ac:dyDescent="0.2">
      <c r="B370" s="175">
        <f>IF(LoanIsGood,IF(ROW()-ROW(PaymentSchedule[[#Headers],[PMT NO]])&gt;ScheduledNumberOfPayments,"",ROW()-ROW(PaymentSchedule[[#Headers],[PMT NO]])),"")</f>
        <v>359</v>
      </c>
      <c r="C370" s="176">
        <f>IF(PaymentSchedule[[#This Row],[PMT NO]]&lt;&gt;"",EOMONTH(LoanStartDate,ROW(PaymentSchedule[[#This Row],[PMT NO]])-ROW(PaymentSchedule[[#Headers],[PMT NO]])-2)+DAY(LoanStartDate),"")</f>
        <v>55916</v>
      </c>
      <c r="D370" s="177">
        <f>IF(PaymentSchedule[[#This Row],[PMT NO]]&lt;&gt;"",IF(ROW()-ROW(PaymentSchedule[[#Headers],[BEGINNING BALANCE]])=1,LoanAmount,INDEX(PaymentSchedule[ENDING BALANCE],ROW()-ROW(PaymentSchedule[[#Headers],[BEGINNING BALANCE]])-1)),"")</f>
        <v>2667.425154548333</v>
      </c>
      <c r="E370" s="177">
        <f>IF(PaymentSchedule[[#This Row],[PMT NO]]&lt;&gt;"",ScheduledPayment,"")</f>
        <v>1342.0540575303476</v>
      </c>
      <c r="F370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0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1342.0540575303476</v>
      </c>
      <c r="H370" s="177">
        <f>IF(PaymentSchedule[[#This Row],[PMT NO]]&lt;&gt;"",PaymentSchedule[[#This Row],[TOTAL PAYMENT]]-PaymentSchedule[[#This Row],[INTEREST]],"")</f>
        <v>1330.9397860530628</v>
      </c>
      <c r="I370" s="177">
        <f>IF(PaymentSchedule[[#This Row],[PMT NO]]&lt;&gt;"",PaymentSchedule[[#This Row],[BEGINNING BALANCE]]*(InterestRate/PaymentsPerYear),"")</f>
        <v>11.114271477284721</v>
      </c>
      <c r="J370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1336.4853684952702</v>
      </c>
      <c r="K370" s="177">
        <f>IF(PaymentSchedule[[#This Row],[PMT NO]]&lt;&gt;"",SUM(INDEX(PaymentSchedule[INTEREST],1,1):PaymentSchedule[[#This Row],[INTEREST]]),"")</f>
        <v>233133.89202188991</v>
      </c>
      <c r="L370" s="178"/>
    </row>
    <row r="371" spans="2:12" x14ac:dyDescent="0.2">
      <c r="B371" s="175">
        <f>IF(LoanIsGood,IF(ROW()-ROW(PaymentSchedule[[#Headers],[PMT NO]])&gt;ScheduledNumberOfPayments,"",ROW()-ROW(PaymentSchedule[[#Headers],[PMT NO]])),"")</f>
        <v>360</v>
      </c>
      <c r="C371" s="176">
        <f>IF(PaymentSchedule[[#This Row],[PMT NO]]&lt;&gt;"",EOMONTH(LoanStartDate,ROW(PaymentSchedule[[#This Row],[PMT NO]])-ROW(PaymentSchedule[[#Headers],[PMT NO]])-2)+DAY(LoanStartDate),"")</f>
        <v>55944</v>
      </c>
      <c r="D371" s="177">
        <f>IF(PaymentSchedule[[#This Row],[PMT NO]]&lt;&gt;"",IF(ROW()-ROW(PaymentSchedule[[#Headers],[BEGINNING BALANCE]])=1,LoanAmount,INDEX(PaymentSchedule[ENDING BALANCE],ROW()-ROW(PaymentSchedule[[#Headers],[BEGINNING BALANCE]])-1)),"")</f>
        <v>1336.4853684952702</v>
      </c>
      <c r="E371" s="177">
        <f>IF(PaymentSchedule[[#This Row],[PMT NO]]&lt;&gt;"",ScheduledPayment,"")</f>
        <v>1342.0540575303476</v>
      </c>
      <c r="F371" s="17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1" s="17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1336.4853684952702</v>
      </c>
      <c r="H371" s="177">
        <f>IF(PaymentSchedule[[#This Row],[PMT NO]]&lt;&gt;"",PaymentSchedule[[#This Row],[TOTAL PAYMENT]]-PaymentSchedule[[#This Row],[INTEREST]],"")</f>
        <v>1330.9166794598732</v>
      </c>
      <c r="I371" s="177">
        <f>IF(PaymentSchedule[[#This Row],[PMT NO]]&lt;&gt;"",PaymentSchedule[[#This Row],[BEGINNING BALANCE]]*(InterestRate/PaymentsPerYear),"")</f>
        <v>5.5686890353969591</v>
      </c>
      <c r="J371" s="17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1" s="177">
        <f>IF(PaymentSchedule[[#This Row],[PMT NO]]&lt;&gt;"",SUM(INDEX(PaymentSchedule[INTEREST],1,1):PaymentSchedule[[#This Row],[INTEREST]]),"")</f>
        <v>233139.46071092531</v>
      </c>
      <c r="L371" s="178"/>
    </row>
  </sheetData>
  <mergeCells count="12">
    <mergeCell ref="C3:D3"/>
    <mergeCell ref="G3:H3"/>
    <mergeCell ref="C4:D4"/>
    <mergeCell ref="G4:H4"/>
    <mergeCell ref="C5:D5"/>
    <mergeCell ref="G5:H5"/>
    <mergeCell ref="C6:D6"/>
    <mergeCell ref="G6:H6"/>
    <mergeCell ref="C7:D7"/>
    <mergeCell ref="G7:H7"/>
    <mergeCell ref="C9:D9"/>
    <mergeCell ref="H9:I9"/>
  </mergeCells>
  <conditionalFormatting sqref="B12:K371">
    <cfRule type="expression" dxfId="0" priority="1">
      <formula>($B12="")+(($D12=0)*($F12=0))</formula>
    </cfRule>
  </conditionalFormatting>
  <dataValidations count="26">
    <dataValidation allowBlank="1" showInputMessage="1" showErrorMessage="1" prompt="Enter the name of the lender in this cell" sqref="H9:I9" xr:uid="{B6F04C01-AFAF-49E1-8832-C544894C0E68}"/>
    <dataValidation allowBlank="1" showInputMessage="1" showErrorMessage="1" prompt="Cumulative interest is automatically updated in this column" sqref="K11" xr:uid="{8C9BFA3E-76D0-4E83-AD11-C8031D1AA870}"/>
    <dataValidation allowBlank="1" showInputMessage="1" showErrorMessage="1" prompt="Ending balance is automatically updated in this column" sqref="J11" xr:uid="{8175F40C-D2B3-4C52-A50B-9CDD72A8FE51}"/>
    <dataValidation allowBlank="1" showInputMessage="1" showErrorMessage="1" prompt="Interest is automatically updated in this column" sqref="I11" xr:uid="{99BD86DD-EE42-4381-A1B0-75A68EA07F03}"/>
    <dataValidation allowBlank="1" showInputMessage="1" showErrorMessage="1" prompt="Principal is automatically updated in this column" sqref="H11" xr:uid="{210C4DA2-DB0E-499C-AE06-089AB3BFEEDC}"/>
    <dataValidation allowBlank="1" showInputMessage="1" showErrorMessage="1" prompt="Total payment is automatically updated in this column" sqref="G11" xr:uid="{C1D3FF86-ED13-4D4C-9A0F-3ABEB8F2DCA6}"/>
    <dataValidation allowBlank="1" showInputMessage="1" showErrorMessage="1" prompt="Extra payment is automatically updated in this column" sqref="F11" xr:uid="{071E6C67-8B16-462F-A8B0-7B18F891F3A4}"/>
    <dataValidation allowBlank="1" showInputMessage="1" showErrorMessage="1" prompt="Scheduled payment is automatically updated in this column" sqref="E11" xr:uid="{B24BBF13-1534-4172-924C-70FDFDCE2B63}"/>
    <dataValidation allowBlank="1" showInputMessage="1" showErrorMessage="1" prompt="Beginning balance is automatically updated in this column" sqref="D11" xr:uid="{3521496A-055C-4B35-B4B6-8899EE50F8A9}"/>
    <dataValidation allowBlank="1" showInputMessage="1" showErrorMessage="1" prompt="Payment date is automatically updated in this column" sqref="C11" xr:uid="{BA7E2407-4DD9-4142-8E65-4250C9D4DC89}"/>
    <dataValidation allowBlank="1" showInputMessage="1" showErrorMessage="1" prompt="Payment number is automatically updated in this column" sqref="B11" xr:uid="{5DC3A1C1-5387-4CBE-8A1A-8CE01E8C4D9E}"/>
    <dataValidation allowBlank="1" showInputMessage="1" showErrorMessage="1" prompt="Automatically updated total early payments" sqref="I6" xr:uid="{8FFF6186-E7C2-4CA1-847A-AFA9139B676B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1" xr:uid="{FDCC077F-FF49-40E6-BF10-4D959FDC95DA}"/>
    <dataValidation allowBlank="1" showInputMessage="1" showErrorMessage="1" prompt="Loan Summary fields from I3 to I7 are automatically adjusted based on the values entered. Enter the Lender's name in I9" sqref="G2" xr:uid="{65F2D9E4-865A-4846-9B7A-4D0848595673}"/>
    <dataValidation allowBlank="1" showInputMessage="1" showErrorMessage="1" prompt="Enter loan values in cells E3 to E7 and E9. Description of each loan value is in column C. Payment Schedule table starting in cell B11 will automatically update" sqref="C2" xr:uid="{B4BD857E-F7A9-481A-80F3-9A380C4087D4}"/>
    <dataValidation allowBlank="1" showInputMessage="1" showErrorMessage="1" prompt="This workbook produces a loan amortization schedule that calculates total interest and total payments &amp; includes the option for extra payments" sqref="A1" xr:uid="{7323A19F-DBEB-4AC8-9673-540E65ED8CD4}"/>
    <dataValidation allowBlank="1" showInputMessage="1" showErrorMessage="1" prompt="Automatically updated actual number of payments" sqref="I5" xr:uid="{78122B63-389C-40DC-B621-EC7751915B25}"/>
    <dataValidation allowBlank="1" showInputMessage="1" showErrorMessage="1" prompt="Automatically updated scheduled number of payments" sqref="I4" xr:uid="{5BAAC084-EDA0-4666-80C9-70551C6B619D}"/>
    <dataValidation allowBlank="1" showInputMessage="1" showErrorMessage="1" prompt="Automatically updated scheduled payment amount" sqref="I3" xr:uid="{000C423D-8542-4B9C-85FB-0FD51F1DF734}"/>
    <dataValidation allowBlank="1" showInputMessage="1" showErrorMessage="1" prompt="Automatically calculated total interest" sqref="I7" xr:uid="{367850EE-EDAE-4F2E-AD77-CD7FB1A2B431}"/>
    <dataValidation allowBlank="1" showInputMessage="1" showErrorMessage="1" prompt="Enter the amount of extra payment in this cell" sqref="E9" xr:uid="{139E3986-B9C5-4E6E-958B-2EFE8EE153B3}"/>
    <dataValidation allowBlank="1" showInputMessage="1" showErrorMessage="1" prompt="Enter the start date of loan in this cell" sqref="E7" xr:uid="{80D771C8-2CD2-43A8-A4C0-05416D3CFFED}"/>
    <dataValidation allowBlank="1" showInputMessage="1" showErrorMessage="1" prompt="Enter the number of payments to be made in a year in this cell" sqref="E6" xr:uid="{1BC0B238-67BE-4525-8C29-ADF3AD4802E0}"/>
    <dataValidation allowBlank="1" showInputMessage="1" showErrorMessage="1" prompt="Enter loan period in years in this cell" sqref="E5" xr:uid="{6D5074BA-9ACA-4713-9C1E-D06568D91113}"/>
    <dataValidation allowBlank="1" showInputMessage="1" showErrorMessage="1" prompt="Enter interest rate to be paid annually in this cell" sqref="E4" xr:uid="{8183543C-58CF-4391-8998-41AB7E145F8A}"/>
    <dataValidation allowBlank="1" showInputMessage="1" showErrorMessage="1" prompt="Enter Loan Amount in this cell" sqref="E3" xr:uid="{12DE8DC1-7546-4C42-8D69-EB832A29FB36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Personal Monthly Budget</vt:lpstr>
      <vt:lpstr>Mortgage Calculator</vt:lpstr>
      <vt:lpstr>ExtraPayments</vt:lpstr>
      <vt:lpstr>InterestRate</vt:lpstr>
      <vt:lpstr>LoanAmount</vt:lpstr>
      <vt:lpstr>LoanPeriod</vt:lpstr>
      <vt:lpstr>LoanStartDate</vt:lpstr>
      <vt:lpstr>PaymentsPerYear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Galen Eby</dc:creator>
  <cp:lastModifiedBy>Galen Eby</cp:lastModifiedBy>
  <dcterms:created xsi:type="dcterms:W3CDTF">2018-04-23T07:00:55Z</dcterms:created>
  <dcterms:modified xsi:type="dcterms:W3CDTF">2023-03-02T12:53:07Z</dcterms:modified>
</cp:coreProperties>
</file>